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94" r:id="rId2"/>
    <sheet name="Aforo 2" sheetId="95" r:id="rId3"/>
    <sheet name="Aforo 3" sheetId="96" r:id="rId4"/>
    <sheet name="Aforo 4" sheetId="97" r:id="rId5"/>
  </sheets>
  <definedNames>
    <definedName name="_xlnm.Print_Area" localSheetId="1">'Aforo 1'!$B$1:$P$133</definedName>
    <definedName name="_xlnm.Print_Area" localSheetId="2">'Aforo 2'!$B$1:$P$143</definedName>
    <definedName name="_xlnm.Print_Area" localSheetId="3">'Aforo 3'!$B$1:$P$128</definedName>
    <definedName name="_xlnm.Print_Area" localSheetId="4">'Aforo 4'!$B$1:$P$138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7" i="97" l="1"/>
  <c r="O126" i="97"/>
  <c r="G121" i="97"/>
  <c r="G117" i="97"/>
  <c r="D117" i="97"/>
  <c r="G115" i="97"/>
  <c r="K112" i="97"/>
  <c r="E112" i="97"/>
  <c r="G120" i="97" s="1"/>
  <c r="D112" i="97"/>
  <c r="B112" i="97"/>
  <c r="G103" i="97"/>
  <c r="G102" i="97"/>
  <c r="G101" i="97"/>
  <c r="G100" i="97"/>
  <c r="K99" i="97"/>
  <c r="G98" i="97"/>
  <c r="G97" i="97"/>
  <c r="G96" i="97"/>
  <c r="G95" i="97"/>
  <c r="K94" i="97"/>
  <c r="G93" i="97"/>
  <c r="G92" i="97"/>
  <c r="G91" i="97"/>
  <c r="G90" i="97"/>
  <c r="K89" i="97"/>
  <c r="G88" i="97"/>
  <c r="G87" i="97"/>
  <c r="G86" i="97"/>
  <c r="G85" i="97"/>
  <c r="K84" i="97"/>
  <c r="G83" i="97"/>
  <c r="G82" i="97"/>
  <c r="G81" i="97"/>
  <c r="G80" i="97"/>
  <c r="K79" i="97"/>
  <c r="G78" i="97"/>
  <c r="G77" i="97"/>
  <c r="G76" i="97"/>
  <c r="G75" i="97"/>
  <c r="K74" i="97"/>
  <c r="G73" i="97"/>
  <c r="G72" i="97"/>
  <c r="G71" i="97"/>
  <c r="G70" i="97"/>
  <c r="K69" i="97"/>
  <c r="G68" i="97"/>
  <c r="G67" i="97"/>
  <c r="G66" i="97"/>
  <c r="G65" i="97"/>
  <c r="K64" i="97"/>
  <c r="G63" i="97"/>
  <c r="G62" i="97"/>
  <c r="G61" i="97"/>
  <c r="G60" i="97"/>
  <c r="K59" i="97"/>
  <c r="G58" i="97"/>
  <c r="G57" i="97"/>
  <c r="G56" i="97"/>
  <c r="G55" i="97"/>
  <c r="K54" i="97"/>
  <c r="G53" i="97"/>
  <c r="G52" i="97"/>
  <c r="G51" i="97"/>
  <c r="G50" i="97"/>
  <c r="K49" i="97"/>
  <c r="G48" i="97"/>
  <c r="G47" i="97"/>
  <c r="G46" i="97"/>
  <c r="G45" i="97"/>
  <c r="G43" i="97"/>
  <c r="G42" i="97"/>
  <c r="G41" i="97"/>
  <c r="G40" i="97"/>
  <c r="K39" i="97"/>
  <c r="G38" i="97"/>
  <c r="G37" i="97"/>
  <c r="G36" i="97"/>
  <c r="G35" i="97"/>
  <c r="K34" i="97"/>
  <c r="G33" i="97"/>
  <c r="G32" i="97"/>
  <c r="G31" i="97"/>
  <c r="G30" i="97"/>
  <c r="K29" i="97"/>
  <c r="G28" i="97"/>
  <c r="G27" i="97"/>
  <c r="G26" i="97"/>
  <c r="G25" i="97"/>
  <c r="K24" i="97"/>
  <c r="G23" i="97"/>
  <c r="G22" i="97"/>
  <c r="G21" i="97"/>
  <c r="G20" i="97"/>
  <c r="K19" i="97"/>
  <c r="C18" i="97"/>
  <c r="C19" i="97" s="1"/>
  <c r="L19" i="97" l="1"/>
  <c r="C24" i="97"/>
  <c r="G116" i="97"/>
  <c r="G118" i="97"/>
  <c r="G122" i="97"/>
  <c r="G113" i="97"/>
  <c r="G119" i="97"/>
  <c r="G114" i="97"/>
  <c r="M19" i="97" l="1"/>
  <c r="C29" i="97"/>
  <c r="L24" i="97"/>
  <c r="M24" i="97" s="1"/>
  <c r="L29" i="97" l="1"/>
  <c r="M29" i="97" s="1"/>
  <c r="C34" i="97"/>
  <c r="L34" i="97" l="1"/>
  <c r="M34" i="97" s="1"/>
  <c r="C39" i="97"/>
  <c r="C112" i="97" l="1"/>
  <c r="L39" i="97"/>
  <c r="M39" i="97" s="1"/>
  <c r="C44" i="97"/>
  <c r="C49" i="97" l="1"/>
  <c r="C117" i="97"/>
  <c r="L112" i="97" s="1"/>
  <c r="M112" i="97" s="1"/>
  <c r="C54" i="97" l="1"/>
  <c r="L49" i="97"/>
  <c r="M49" i="97" s="1"/>
  <c r="L54" i="97" l="1"/>
  <c r="M54" i="97" s="1"/>
  <c r="C59" i="97"/>
  <c r="L59" i="97" l="1"/>
  <c r="M59" i="97" s="1"/>
  <c r="C64" i="97"/>
  <c r="C69" i="97" l="1"/>
  <c r="L64" i="97"/>
  <c r="M64" i="97" l="1"/>
  <c r="C74" i="97"/>
  <c r="L69" i="97"/>
  <c r="M69" i="97" s="1"/>
  <c r="L74" i="97" l="1"/>
  <c r="M74" i="97" s="1"/>
  <c r="C79" i="97"/>
  <c r="L79" i="97" l="1"/>
  <c r="M79" i="97" s="1"/>
  <c r="C84" i="97"/>
  <c r="C89" i="97" l="1"/>
  <c r="L84" i="97"/>
  <c r="M84" i="97" s="1"/>
  <c r="C94" i="97" l="1"/>
  <c r="L89" i="97"/>
  <c r="M89" i="97" s="1"/>
  <c r="L94" i="97" l="1"/>
  <c r="M94" i="97" s="1"/>
  <c r="C99" i="97"/>
  <c r="L99" i="97" s="1"/>
  <c r="M99" i="97" l="1"/>
  <c r="L123" i="97"/>
  <c r="M123" i="97" l="1"/>
  <c r="K123" i="97" l="1"/>
  <c r="N19" i="97"/>
  <c r="N24" i="97"/>
  <c r="N29" i="97"/>
  <c r="N34" i="97"/>
  <c r="N39" i="97"/>
  <c r="N112" i="97"/>
  <c r="N49" i="97"/>
  <c r="N54" i="97"/>
  <c r="N59" i="97"/>
  <c r="N64" i="97"/>
  <c r="N69" i="97"/>
  <c r="N74" i="97"/>
  <c r="N79" i="97"/>
  <c r="N84" i="97"/>
  <c r="N89" i="97"/>
  <c r="N94" i="97"/>
  <c r="N99" i="97"/>
  <c r="N123" i="97" l="1"/>
  <c r="O117" i="96" l="1"/>
  <c r="O116" i="96"/>
  <c r="G111" i="96"/>
  <c r="G107" i="96"/>
  <c r="D107" i="96"/>
  <c r="G105" i="96"/>
  <c r="K102" i="96"/>
  <c r="E102" i="96"/>
  <c r="G110" i="96" s="1"/>
  <c r="D102" i="96"/>
  <c r="B102" i="96"/>
  <c r="G93" i="96"/>
  <c r="G92" i="96"/>
  <c r="G91" i="96"/>
  <c r="G90" i="96"/>
  <c r="K89" i="96"/>
  <c r="G88" i="96"/>
  <c r="G87" i="96"/>
  <c r="G86" i="96"/>
  <c r="G85" i="96"/>
  <c r="K84" i="96"/>
  <c r="G83" i="96"/>
  <c r="G82" i="96"/>
  <c r="G81" i="96"/>
  <c r="G80" i="96"/>
  <c r="K79" i="96"/>
  <c r="G78" i="96"/>
  <c r="G77" i="96"/>
  <c r="G76" i="96"/>
  <c r="G75" i="96"/>
  <c r="K74" i="96"/>
  <c r="G73" i="96"/>
  <c r="G72" i="96"/>
  <c r="G71" i="96"/>
  <c r="G70" i="96"/>
  <c r="K69" i="96"/>
  <c r="G68" i="96"/>
  <c r="G67" i="96"/>
  <c r="G66" i="96"/>
  <c r="G65" i="96"/>
  <c r="K64" i="96"/>
  <c r="G63" i="96"/>
  <c r="G62" i="96"/>
  <c r="G61" i="96"/>
  <c r="G60" i="96"/>
  <c r="K59" i="96"/>
  <c r="G58" i="96"/>
  <c r="G57" i="96"/>
  <c r="G56" i="96"/>
  <c r="G55" i="96"/>
  <c r="K54" i="96"/>
  <c r="G53" i="96"/>
  <c r="G52" i="96"/>
  <c r="G51" i="96"/>
  <c r="G50" i="96"/>
  <c r="K49" i="96"/>
  <c r="G48" i="96"/>
  <c r="G47" i="96"/>
  <c r="G46" i="96"/>
  <c r="G45" i="96"/>
  <c r="K44" i="96"/>
  <c r="G43" i="96"/>
  <c r="G42" i="96"/>
  <c r="G41" i="96"/>
  <c r="G40" i="96"/>
  <c r="G38" i="96"/>
  <c r="G37" i="96"/>
  <c r="G36" i="96"/>
  <c r="G35" i="96"/>
  <c r="K34" i="96"/>
  <c r="G33" i="96"/>
  <c r="G32" i="96"/>
  <c r="G31" i="96"/>
  <c r="G30" i="96"/>
  <c r="K29" i="96"/>
  <c r="G28" i="96"/>
  <c r="G27" i="96"/>
  <c r="G26" i="96"/>
  <c r="G25" i="96"/>
  <c r="K24" i="96"/>
  <c r="G23" i="96"/>
  <c r="G22" i="96"/>
  <c r="G21" i="96"/>
  <c r="G20" i="96"/>
  <c r="K19" i="96"/>
  <c r="C18" i="96"/>
  <c r="C19" i="96" s="1"/>
  <c r="C24" i="96" l="1"/>
  <c r="L19" i="96"/>
  <c r="G106" i="96"/>
  <c r="G108" i="96"/>
  <c r="G112" i="96"/>
  <c r="G103" i="96"/>
  <c r="G109" i="96"/>
  <c r="G104" i="96"/>
  <c r="L24" i="96" l="1"/>
  <c r="M24" i="96" s="1"/>
  <c r="C29" i="96"/>
  <c r="M19" i="96"/>
  <c r="L29" i="96" l="1"/>
  <c r="C34" i="96"/>
  <c r="C102" i="96" l="1"/>
  <c r="C39" i="96"/>
  <c r="L34" i="96"/>
  <c r="M34" i="96" s="1"/>
  <c r="M29" i="96"/>
  <c r="C107" i="96" l="1"/>
  <c r="L102" i="96" s="1"/>
  <c r="M102" i="96" s="1"/>
  <c r="C44" i="96"/>
  <c r="L44" i="96" l="1"/>
  <c r="C49" i="96"/>
  <c r="L49" i="96" l="1"/>
  <c r="M49" i="96" s="1"/>
  <c r="C54" i="96"/>
  <c r="M44" i="96"/>
  <c r="C59" i="96" l="1"/>
  <c r="L54" i="96"/>
  <c r="M54" i="96" s="1"/>
  <c r="L59" i="96" l="1"/>
  <c r="M59" i="96" s="1"/>
  <c r="C64" i="96"/>
  <c r="L64" i="96" l="1"/>
  <c r="M64" i="96" s="1"/>
  <c r="C69" i="96"/>
  <c r="L69" i="96" l="1"/>
  <c r="M69" i="96" s="1"/>
  <c r="C74" i="96"/>
  <c r="C79" i="96" l="1"/>
  <c r="L74" i="96"/>
  <c r="M74" i="96" s="1"/>
  <c r="L79" i="96" l="1"/>
  <c r="M79" i="96" s="1"/>
  <c r="C84" i="96"/>
  <c r="L84" i="96" l="1"/>
  <c r="M84" i="96" s="1"/>
  <c r="C89" i="96"/>
  <c r="L89" i="96" s="1"/>
  <c r="M89" i="96" l="1"/>
  <c r="L113" i="96"/>
  <c r="M113" i="96" l="1"/>
  <c r="K113" i="96" l="1"/>
  <c r="N24" i="96"/>
  <c r="N19" i="96"/>
  <c r="N29" i="96"/>
  <c r="N34" i="96"/>
  <c r="N102" i="96"/>
  <c r="N44" i="96"/>
  <c r="N49" i="96"/>
  <c r="N54" i="96"/>
  <c r="N59" i="96"/>
  <c r="N64" i="96"/>
  <c r="N69" i="96"/>
  <c r="N74" i="96"/>
  <c r="N79" i="96"/>
  <c r="N84" i="96"/>
  <c r="N89" i="96"/>
  <c r="N113" i="96" l="1"/>
  <c r="O132" i="95" l="1"/>
  <c r="O131" i="95"/>
  <c r="G126" i="95"/>
  <c r="G125" i="95"/>
  <c r="G124" i="95"/>
  <c r="G122" i="95"/>
  <c r="D122" i="95"/>
  <c r="G120" i="95"/>
  <c r="G119" i="95"/>
  <c r="G118" i="95"/>
  <c r="K117" i="95"/>
  <c r="E117" i="95"/>
  <c r="G127" i="95" s="1"/>
  <c r="D117" i="95"/>
  <c r="B117" i="95"/>
  <c r="G108" i="95"/>
  <c r="G107" i="95"/>
  <c r="G106" i="95"/>
  <c r="G105" i="95"/>
  <c r="K104" i="95"/>
  <c r="G103" i="95"/>
  <c r="G102" i="95"/>
  <c r="G101" i="95"/>
  <c r="G100" i="95"/>
  <c r="K99" i="95"/>
  <c r="G98" i="95"/>
  <c r="G97" i="95"/>
  <c r="G96" i="95"/>
  <c r="G95" i="95"/>
  <c r="K94" i="95"/>
  <c r="G93" i="95"/>
  <c r="G92" i="95"/>
  <c r="G91" i="95"/>
  <c r="G90" i="95"/>
  <c r="K89" i="95"/>
  <c r="G88" i="95"/>
  <c r="G87" i="95"/>
  <c r="G86" i="95"/>
  <c r="G85" i="95"/>
  <c r="K84" i="95"/>
  <c r="G83" i="95"/>
  <c r="G82" i="95"/>
  <c r="G81" i="95"/>
  <c r="G80" i="95"/>
  <c r="K79" i="95"/>
  <c r="G78" i="95"/>
  <c r="G77" i="95"/>
  <c r="G76" i="95"/>
  <c r="G75" i="95"/>
  <c r="K74" i="95"/>
  <c r="G73" i="95"/>
  <c r="G72" i="95"/>
  <c r="G71" i="95"/>
  <c r="G70" i="95"/>
  <c r="K69" i="95"/>
  <c r="G68" i="95"/>
  <c r="G67" i="95"/>
  <c r="G66" i="95"/>
  <c r="G65" i="95"/>
  <c r="K64" i="95"/>
  <c r="G63" i="95"/>
  <c r="G62" i="95"/>
  <c r="G61" i="95"/>
  <c r="G60" i="95"/>
  <c r="K59" i="95"/>
  <c r="G58" i="95"/>
  <c r="G57" i="95"/>
  <c r="G56" i="95"/>
  <c r="G55" i="95"/>
  <c r="K54" i="95"/>
  <c r="G53" i="95"/>
  <c r="G52" i="95"/>
  <c r="G51" i="95"/>
  <c r="G50" i="95"/>
  <c r="G48" i="95"/>
  <c r="G47" i="95"/>
  <c r="G46" i="95"/>
  <c r="G45" i="95"/>
  <c r="K44" i="95"/>
  <c r="G43" i="95"/>
  <c r="G42" i="95"/>
  <c r="G41" i="95"/>
  <c r="G40" i="95"/>
  <c r="K39" i="95"/>
  <c r="G38" i="95"/>
  <c r="G37" i="95"/>
  <c r="G36" i="95"/>
  <c r="G35" i="95"/>
  <c r="K34" i="95"/>
  <c r="G33" i="95"/>
  <c r="G32" i="95"/>
  <c r="G31" i="95"/>
  <c r="G30" i="95"/>
  <c r="K29" i="95"/>
  <c r="G28" i="95"/>
  <c r="G27" i="95"/>
  <c r="G26" i="95"/>
  <c r="G25" i="95"/>
  <c r="K24" i="95"/>
  <c r="G23" i="95"/>
  <c r="G22" i="95"/>
  <c r="G21" i="95"/>
  <c r="G20" i="95"/>
  <c r="K19" i="95"/>
  <c r="C19" i="95"/>
  <c r="L19" i="95" s="1"/>
  <c r="C18" i="95"/>
  <c r="M19" i="95" l="1"/>
  <c r="C24" i="95"/>
  <c r="G121" i="95"/>
  <c r="G123" i="95"/>
  <c r="L24" i="95" l="1"/>
  <c r="C29" i="95"/>
  <c r="C34" i="95" l="1"/>
  <c r="L29" i="95"/>
  <c r="M29" i="95" s="1"/>
  <c r="M24" i="95"/>
  <c r="C39" i="95" l="1"/>
  <c r="L34" i="95"/>
  <c r="M34" i="95" s="1"/>
  <c r="L39" i="95" l="1"/>
  <c r="C44" i="95"/>
  <c r="M39" i="95" l="1"/>
  <c r="C117" i="95"/>
  <c r="L44" i="95"/>
  <c r="M44" i="95" s="1"/>
  <c r="C49" i="95"/>
  <c r="C54" i="95" l="1"/>
  <c r="C122" i="95"/>
  <c r="L117" i="95" s="1"/>
  <c r="M117" i="95" l="1"/>
  <c r="C59" i="95"/>
  <c r="L54" i="95"/>
  <c r="M54" i="95" s="1"/>
  <c r="L59" i="95" l="1"/>
  <c r="M59" i="95" s="1"/>
  <c r="C64" i="95"/>
  <c r="L64" i="95" l="1"/>
  <c r="C69" i="95"/>
  <c r="C74" i="95" l="1"/>
  <c r="L69" i="95"/>
  <c r="M69" i="95" s="1"/>
  <c r="M64" i="95"/>
  <c r="C79" i="95" l="1"/>
  <c r="L74" i="95"/>
  <c r="L79" i="95" l="1"/>
  <c r="M79" i="95" s="1"/>
  <c r="C84" i="95"/>
  <c r="M74" i="95"/>
  <c r="L84" i="95" l="1"/>
  <c r="C89" i="95"/>
  <c r="C94" i="95" l="1"/>
  <c r="L89" i="95"/>
  <c r="M89" i="95" s="1"/>
  <c r="M84" i="95"/>
  <c r="L94" i="95" l="1"/>
  <c r="M94" i="95" s="1"/>
  <c r="C99" i="95"/>
  <c r="L99" i="95" l="1"/>
  <c r="M99" i="95" s="1"/>
  <c r="C104" i="95"/>
  <c r="L104" i="95" s="1"/>
  <c r="M104" i="95" l="1"/>
  <c r="L128" i="95"/>
  <c r="M128" i="95" l="1"/>
  <c r="K128" i="95" l="1"/>
  <c r="N19" i="95"/>
  <c r="N24" i="95"/>
  <c r="N29" i="95"/>
  <c r="N34" i="95"/>
  <c r="N44" i="95"/>
  <c r="N39" i="95"/>
  <c r="N117" i="95"/>
  <c r="N54" i="95"/>
  <c r="N59" i="95"/>
  <c r="N64" i="95"/>
  <c r="N69" i="95"/>
  <c r="N74" i="95"/>
  <c r="N79" i="95"/>
  <c r="N89" i="95"/>
  <c r="N84" i="95"/>
  <c r="N94" i="95"/>
  <c r="N99" i="95"/>
  <c r="N104" i="95"/>
  <c r="N128" i="95" l="1"/>
  <c r="O122" i="94" l="1"/>
  <c r="O121" i="94"/>
  <c r="G116" i="94"/>
  <c r="G112" i="94"/>
  <c r="D112" i="94"/>
  <c r="G110" i="94"/>
  <c r="K107" i="94"/>
  <c r="E107" i="94"/>
  <c r="G115" i="94" s="1"/>
  <c r="D107" i="94"/>
  <c r="B107" i="94"/>
  <c r="G98" i="94"/>
  <c r="G97" i="94"/>
  <c r="G96" i="94"/>
  <c r="G95" i="94"/>
  <c r="K94" i="94"/>
  <c r="G93" i="94"/>
  <c r="G92" i="94"/>
  <c r="G91" i="94"/>
  <c r="G90" i="94"/>
  <c r="K89" i="94"/>
  <c r="G88" i="94"/>
  <c r="G87" i="94"/>
  <c r="G86" i="94"/>
  <c r="G85" i="94"/>
  <c r="K84" i="94"/>
  <c r="G83" i="94"/>
  <c r="G82" i="94"/>
  <c r="G81" i="94"/>
  <c r="G80" i="94"/>
  <c r="K79" i="94"/>
  <c r="G78" i="94"/>
  <c r="G77" i="94"/>
  <c r="G76" i="94"/>
  <c r="G75" i="94"/>
  <c r="K74" i="94"/>
  <c r="G73" i="94"/>
  <c r="G72" i="94"/>
  <c r="G71" i="94"/>
  <c r="G70" i="94"/>
  <c r="K69" i="94"/>
  <c r="G68" i="94"/>
  <c r="G67" i="94"/>
  <c r="G66" i="94"/>
  <c r="G65" i="94"/>
  <c r="K64" i="94"/>
  <c r="G63" i="94"/>
  <c r="G62" i="94"/>
  <c r="G61" i="94"/>
  <c r="G60" i="94"/>
  <c r="K59" i="94"/>
  <c r="G58" i="94"/>
  <c r="G57" i="94"/>
  <c r="G56" i="94"/>
  <c r="G55" i="94"/>
  <c r="K54" i="94"/>
  <c r="G53" i="94"/>
  <c r="G52" i="94"/>
  <c r="G51" i="94"/>
  <c r="G50" i="94"/>
  <c r="K49" i="94"/>
  <c r="G48" i="94"/>
  <c r="G47" i="94"/>
  <c r="G46" i="94"/>
  <c r="G45" i="94"/>
  <c r="K44" i="94"/>
  <c r="G43" i="94"/>
  <c r="G42" i="94"/>
  <c r="G41" i="94"/>
  <c r="G40" i="94"/>
  <c r="G38" i="94"/>
  <c r="G37" i="94"/>
  <c r="G36" i="94"/>
  <c r="G35" i="94"/>
  <c r="K34" i="94"/>
  <c r="G33" i="94"/>
  <c r="G32" i="94"/>
  <c r="G31" i="94"/>
  <c r="G30" i="94"/>
  <c r="K29" i="94"/>
  <c r="G28" i="94"/>
  <c r="G27" i="94"/>
  <c r="G26" i="94"/>
  <c r="G25" i="94"/>
  <c r="K24" i="94"/>
  <c r="G23" i="94"/>
  <c r="G22" i="94"/>
  <c r="G21" i="94"/>
  <c r="G20" i="94"/>
  <c r="K19" i="94"/>
  <c r="C18" i="94"/>
  <c r="C19" i="94" s="1"/>
  <c r="C24" i="94" l="1"/>
  <c r="L19" i="94"/>
  <c r="G111" i="94"/>
  <c r="G113" i="94"/>
  <c r="G117" i="94"/>
  <c r="G108" i="94"/>
  <c r="G114" i="94"/>
  <c r="G109" i="94"/>
  <c r="M19" i="94" l="1"/>
  <c r="C29" i="94"/>
  <c r="L24" i="94"/>
  <c r="M24" i="94" s="1"/>
  <c r="C34" i="94" l="1"/>
  <c r="L29" i="94"/>
  <c r="M29" i="94" s="1"/>
  <c r="C107" i="94" l="1"/>
  <c r="L34" i="94"/>
  <c r="C39" i="94"/>
  <c r="C44" i="94" l="1"/>
  <c r="C112" i="94"/>
  <c r="L107" i="94" s="1"/>
  <c r="M107" i="94" s="1"/>
  <c r="M34" i="94"/>
  <c r="L44" i="94" l="1"/>
  <c r="C49" i="94"/>
  <c r="M44" i="94" l="1"/>
  <c r="C54" i="94"/>
  <c r="L49" i="94"/>
  <c r="M49" i="94" s="1"/>
  <c r="L54" i="94" l="1"/>
  <c r="M54" i="94" s="1"/>
  <c r="C59" i="94"/>
  <c r="C64" i="94" l="1"/>
  <c r="L59" i="94"/>
  <c r="M59" i="94" s="1"/>
  <c r="L64" i="94" l="1"/>
  <c r="M64" i="94" s="1"/>
  <c r="C69" i="94"/>
  <c r="C74" i="94" l="1"/>
  <c r="L69" i="94"/>
  <c r="M69" i="94" s="1"/>
  <c r="L74" i="94" l="1"/>
  <c r="M74" i="94" s="1"/>
  <c r="C79" i="94"/>
  <c r="C84" i="94" l="1"/>
  <c r="L79" i="94"/>
  <c r="M79" i="94" s="1"/>
  <c r="L84" i="94" l="1"/>
  <c r="M84" i="94" s="1"/>
  <c r="C89" i="94"/>
  <c r="C94" i="94" l="1"/>
  <c r="L94" i="94" s="1"/>
  <c r="L89" i="94"/>
  <c r="M89" i="94" s="1"/>
  <c r="M94" i="94" l="1"/>
  <c r="L118" i="94"/>
  <c r="M118" i="94" l="1"/>
  <c r="K118" i="94" l="1"/>
  <c r="N24" i="94"/>
  <c r="N19" i="94"/>
  <c r="N29" i="94"/>
  <c r="N34" i="94"/>
  <c r="N107" i="94"/>
  <c r="N49" i="94"/>
  <c r="N44" i="94"/>
  <c r="N54" i="94"/>
  <c r="N59" i="94"/>
  <c r="N64" i="94"/>
  <c r="N69" i="94"/>
  <c r="N74" i="94"/>
  <c r="N79" i="94"/>
  <c r="N84" i="94"/>
  <c r="N89" i="94"/>
  <c r="N94" i="94"/>
  <c r="N118" i="94" l="1"/>
</calcChain>
</file>

<file path=xl/sharedStrings.xml><?xml version="1.0" encoding="utf-8"?>
<sst xmlns="http://schemas.openxmlformats.org/spreadsheetml/2006/main" count="773" uniqueCount="119">
  <si>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</si>
  <si>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</si>
  <si>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</si>
  <si>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</si>
  <si>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</si>
  <si>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</si>
  <si>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</si>
  <si>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</si>
  <si>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</si>
  <si>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</si>
  <si>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</si>
  <si>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</si>
  <si>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</si>
  <si>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</si>
  <si>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</si>
  <si>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</si>
  <si>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</si>
  <si>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</si>
  <si>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</si>
  <si>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</si>
  <si>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</si>
  <si>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</si>
  <si>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</si>
  <si>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</si>
  <si>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</si>
  <si>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</si>
  <si>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</si>
  <si>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</si>
  <si>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</si>
  <si>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</si>
  <si>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</si>
  <si>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</si>
  <si>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</si>
  <si>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</si>
  <si>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</si>
  <si>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</si>
  <si>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</si>
  <si>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</si>
  <si>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</si>
  <si>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</si>
  <si>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</si>
  <si>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</si>
  <si>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</si>
  <si>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</si>
  <si>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</si>
  <si>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</si>
  <si>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</si>
  <si>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</si>
  <si>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</si>
  <si>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</si>
  <si>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</si>
  <si>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</si>
  <si>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</si>
  <si>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</si>
  <si>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</si>
  <si>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</si>
  <si>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</si>
  <si>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</si>
  <si>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</si>
  <si>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</si>
  <si>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</si>
  <si>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</si>
  <si>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</si>
  <si>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</si>
  <si>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</si>
  <si>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</si>
  <si>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</si>
  <si>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</si>
  <si>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</si>
  <si>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</si>
  <si>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</si>
  <si>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</si>
  <si>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</si>
  <si>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</si>
  <si>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</si>
  <si>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</si>
  <si>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</si>
  <si>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</si>
  <si>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</si>
  <si>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</si>
  <si>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</si>
  <si>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</si>
  <si>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</si>
  <si>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</si>
  <si>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</si>
  <si>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</si>
  <si>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</si>
  <si>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</si>
  <si>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</si>
  <si>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</si>
  <si>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</si>
  <si>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</si>
  <si>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</si>
  <si>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</si>
  <si>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</si>
  <si>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</si>
  <si>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</si>
  <si>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</si>
  <si>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</si>
  <si>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</si>
  <si>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</si>
  <si>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</si>
  <si>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t>Organizando sección de aforo</t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</si>
  <si>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</si>
  <si>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(cm)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</si>
  <si>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>Medida de la temperatura</t>
  </si>
  <si>
    <t>Detalle del aforo</t>
  </si>
  <si>
    <t>RÍO CHINCHINÁ - CENICAFÉ</t>
  </si>
  <si>
    <t>N  4° 59' 9,41"</t>
  </si>
  <si>
    <t xml:space="preserve">  W 75° 36' 2,6"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</si>
  <si>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</si>
  <si>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Calido</t>
  </si>
  <si>
    <t>Se realizó apertura de las compuertas en la bocatoma de Montevideo</t>
  </si>
  <si>
    <t>Detalle punto de referencia de la sección de aforo</t>
  </si>
  <si>
    <t>Midiendo la altura del sensor al nivel de agua</t>
  </si>
  <si>
    <t>Detalle medida de la temperatura</t>
  </si>
  <si>
    <t>Detalle medida de la distancia desde el sensor hasta el nivel del agua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</si>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</sst>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34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Font="1" applyBorder="1"/>
    <xf numFmtId="0" fontId="0" fillId="0" borderId="0" xfId="0" applyFont="1" applyAlignment="1"/>
    <xf numFmtId="0" fontId="2" fillId="0" borderId="39" xfId="0" applyFont="1" applyBorder="1"/>
    <xf numFmtId="0" fontId="2" fillId="0" borderId="0" xfId="0" applyFont="1"/>
    <xf numFmtId="0" fontId="2" fillId="0" borderId="0" xfId="0" applyFont="1" applyAlignment="1"/>
    <xf numFmtId="0" fontId="19" fillId="7" borderId="0" xfId="0" applyFont="1" applyFill="1" applyBorder="1" applyAlignment="1">
      <alignment horizontal="left" vertical="center" wrapText="1"/>
    </xf>
    <xf numFmtId="0" fontId="17" fillId="6" borderId="78" xfId="0" applyFont="1" applyFill="1" applyBorder="1" applyAlignment="1">
      <alignment horizontal="center" vertical="center"/>
    </xf>
    <xf numFmtId="0" fontId="17" fillId="6" borderId="95" xfId="0" applyFont="1" applyFill="1" applyBorder="1" applyAlignment="1">
      <alignment vertical="center"/>
    </xf>
    <xf numFmtId="0" fontId="17" fillId="6" borderId="95" xfId="0" applyFont="1" applyFill="1" applyBorder="1" applyAlignment="1">
      <alignment horizontal="center" vertical="center"/>
    </xf>
    <xf numFmtId="0" fontId="17" fillId="6" borderId="56" xfId="0" applyFont="1" applyFill="1" applyBorder="1" applyAlignment="1">
      <alignment horizontal="center" vertical="center"/>
    </xf>
    <xf numFmtId="0" fontId="2" fillId="0" borderId="89" xfId="0" applyFont="1" applyBorder="1"/>
    <xf numFmtId="0" fontId="17" fillId="6" borderId="89" xfId="0" applyFont="1" applyFill="1" applyBorder="1" applyAlignment="1">
      <alignment vertical="center"/>
    </xf>
    <xf numFmtId="0" fontId="17" fillId="6" borderId="98" xfId="0" applyFont="1" applyFill="1" applyBorder="1" applyAlignment="1">
      <alignment horizontal="center" vertical="center"/>
    </xf>
    <xf numFmtId="0" fontId="17" fillId="6" borderId="85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7" xfId="0" applyFont="1" applyFill="1" applyBorder="1" applyAlignment="1">
      <alignment horizontal="center" vertical="center" wrapText="1"/>
    </xf>
    <xf numFmtId="0" fontId="2" fillId="0" borderId="93" xfId="0" applyFont="1" applyFill="1" applyBorder="1" applyAlignment="1">
      <alignment horizontal="center" vertical="center" wrapText="1"/>
    </xf>
    <xf numFmtId="0" fontId="17" fillId="0" borderId="93" xfId="0" applyFont="1" applyFill="1" applyBorder="1" applyAlignment="1">
      <alignment horizontal="center" vertical="center"/>
    </xf>
    <xf numFmtId="0" fontId="12" fillId="0" borderId="93" xfId="0" applyFont="1" applyFill="1" applyBorder="1" applyAlignment="1">
      <alignment horizontal="center"/>
    </xf>
    <xf numFmtId="2" fontId="14" fillId="0" borderId="93" xfId="0" applyNumberFormat="1" applyFont="1" applyFill="1" applyBorder="1" applyAlignment="1">
      <alignment vertical="center"/>
    </xf>
    <xf numFmtId="164" fontId="14" fillId="0" borderId="93" xfId="0" applyNumberFormat="1" applyFont="1" applyFill="1" applyBorder="1" applyAlignment="1">
      <alignment vertical="center"/>
    </xf>
    <xf numFmtId="0" fontId="17" fillId="0" borderId="99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5" xfId="0" applyFont="1" applyFill="1" applyBorder="1" applyAlignment="1">
      <alignment horizontal="center"/>
    </xf>
    <xf numFmtId="2" fontId="14" fillId="0" borderId="95" xfId="0" applyNumberFormat="1" applyFont="1" applyFill="1" applyBorder="1" applyAlignment="1">
      <alignment horizontal="center" vertical="center"/>
    </xf>
    <xf numFmtId="2" fontId="14" fillId="0" borderId="95" xfId="0" applyNumberFormat="1" applyFont="1" applyFill="1" applyBorder="1" applyAlignment="1">
      <alignment vertical="center"/>
    </xf>
    <xf numFmtId="0" fontId="2" fillId="0" borderId="95" xfId="0" applyFont="1" applyFill="1" applyBorder="1"/>
    <xf numFmtId="164" fontId="14" fillId="0" borderId="95" xfId="0" applyNumberFormat="1" applyFont="1" applyFill="1" applyBorder="1" applyAlignment="1">
      <alignment horizontal="center" vertical="center"/>
    </xf>
    <xf numFmtId="0" fontId="12" fillId="0" borderId="100" xfId="0" applyFont="1" applyFill="1" applyBorder="1" applyAlignment="1">
      <alignment horizontal="center"/>
    </xf>
    <xf numFmtId="2" fontId="14" fillId="0" borderId="100" xfId="0" applyNumberFormat="1" applyFont="1" applyFill="1" applyBorder="1" applyAlignment="1">
      <alignment horizontal="center" vertical="center"/>
    </xf>
    <xf numFmtId="2" fontId="14" fillId="0" borderId="100" xfId="0" applyNumberFormat="1" applyFont="1" applyFill="1" applyBorder="1" applyAlignment="1">
      <alignment vertical="center"/>
    </xf>
    <xf numFmtId="0" fontId="2" fillId="0" borderId="100" xfId="0" applyFont="1" applyFill="1" applyBorder="1"/>
    <xf numFmtId="164" fontId="14" fillId="0" borderId="100" xfId="0" applyNumberFormat="1" applyFont="1" applyFill="1" applyBorder="1" applyAlignment="1">
      <alignment horizontal="center" vertical="center"/>
    </xf>
    <xf numFmtId="0" fontId="12" fillId="0" borderId="103" xfId="0" applyFont="1" applyFill="1" applyBorder="1" applyAlignment="1">
      <alignment horizontal="center"/>
    </xf>
    <xf numFmtId="2" fontId="14" fillId="0" borderId="103" xfId="0" applyNumberFormat="1" applyFont="1" applyFill="1" applyBorder="1" applyAlignment="1">
      <alignment horizontal="center" vertical="center"/>
    </xf>
    <xf numFmtId="2" fontId="14" fillId="0" borderId="103" xfId="0" applyNumberFormat="1" applyFont="1" applyFill="1" applyBorder="1" applyAlignment="1">
      <alignment vertical="center"/>
    </xf>
    <xf numFmtId="0" fontId="2" fillId="0" borderId="103" xfId="0" applyFont="1" applyFill="1" applyBorder="1"/>
    <xf numFmtId="164" fontId="14" fillId="0" borderId="103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06" xfId="0" applyFont="1" applyFill="1" applyBorder="1" applyAlignment="1">
      <alignment vertical="center" wrapText="1"/>
    </xf>
    <xf numFmtId="0" fontId="21" fillId="0" borderId="39" xfId="0" applyFont="1" applyBorder="1"/>
    <xf numFmtId="2" fontId="14" fillId="10" borderId="110" xfId="0" applyNumberFormat="1" applyFont="1" applyFill="1" applyBorder="1" applyAlignment="1">
      <alignment horizontal="center" vertical="center"/>
    </xf>
    <xf numFmtId="2" fontId="14" fillId="10" borderId="110" xfId="0" applyNumberFormat="1" applyFont="1" applyFill="1" applyBorder="1" applyAlignment="1">
      <alignment horizontal="center"/>
    </xf>
    <xf numFmtId="164" fontId="2" fillId="10" borderId="110" xfId="0" applyNumberFormat="1" applyFont="1" applyFill="1" applyBorder="1" applyAlignment="1">
      <alignment horizontal="center"/>
    </xf>
    <xf numFmtId="164" fontId="2" fillId="9" borderId="110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100" xfId="0" applyFont="1" applyFill="1" applyBorder="1" applyAlignment="1">
      <alignment horizontal="center"/>
    </xf>
    <xf numFmtId="2" fontId="14" fillId="10" borderId="100" xfId="0" applyNumberFormat="1" applyFont="1" applyFill="1" applyBorder="1" applyAlignment="1">
      <alignment horizontal="center" vertical="center"/>
    </xf>
    <xf numFmtId="2" fontId="14" fillId="10" borderId="100" xfId="0" applyNumberFormat="1" applyFont="1" applyFill="1" applyBorder="1" applyAlignment="1">
      <alignment horizontal="center"/>
    </xf>
    <xf numFmtId="164" fontId="2" fillId="10" borderId="100" xfId="0" applyNumberFormat="1" applyFont="1" applyFill="1" applyBorder="1" applyAlignment="1">
      <alignment horizontal="center"/>
    </xf>
    <xf numFmtId="164" fontId="2" fillId="9" borderId="100" xfId="0" applyNumberFormat="1" applyFont="1" applyFill="1" applyBorder="1" applyAlignment="1">
      <alignment horizontal="center"/>
    </xf>
    <xf numFmtId="2" fontId="14" fillId="10" borderId="117" xfId="0" applyNumberFormat="1" applyFont="1" applyFill="1" applyBorder="1" applyAlignment="1">
      <alignment horizontal="center" vertical="center"/>
    </xf>
    <xf numFmtId="2" fontId="14" fillId="10" borderId="117" xfId="0" applyNumberFormat="1" applyFont="1" applyFill="1" applyBorder="1" applyAlignment="1">
      <alignment horizontal="center"/>
    </xf>
    <xf numFmtId="164" fontId="2" fillId="10" borderId="117" xfId="0" applyNumberFormat="1" applyFont="1" applyFill="1" applyBorder="1" applyAlignment="1">
      <alignment horizontal="center"/>
    </xf>
    <xf numFmtId="164" fontId="2" fillId="11" borderId="117" xfId="0" applyNumberFormat="1" applyFont="1" applyFill="1" applyBorder="1" applyAlignment="1">
      <alignment horizontal="center"/>
    </xf>
    <xf numFmtId="164" fontId="14" fillId="0" borderId="93" xfId="0" applyNumberFormat="1" applyFont="1" applyFill="1" applyBorder="1" applyAlignment="1">
      <alignment horizontal="center" vertical="center"/>
    </xf>
    <xf numFmtId="2" fontId="14" fillId="0" borderId="93" xfId="0" applyNumberFormat="1" applyFont="1" applyFill="1" applyBorder="1" applyAlignment="1">
      <alignment horizontal="center" vertical="center"/>
    </xf>
    <xf numFmtId="0" fontId="16" fillId="0" borderId="65" xfId="0" applyFont="1" applyFill="1" applyBorder="1" applyAlignment="1">
      <alignment horizontal="center" vertical="center"/>
    </xf>
    <xf numFmtId="0" fontId="16" fillId="0" borderId="75" xfId="0" applyFont="1" applyFill="1" applyBorder="1" applyAlignment="1">
      <alignment horizontal="center" vertical="center"/>
    </xf>
    <xf numFmtId="0" fontId="16" fillId="0" borderId="65" xfId="0" applyFont="1" applyFill="1" applyBorder="1" applyAlignment="1">
      <alignment horizontal="center" vertical="top" wrapText="1"/>
    </xf>
    <xf numFmtId="0" fontId="16" fillId="0" borderId="82" xfId="0" applyFont="1" applyFill="1" applyBorder="1" applyAlignment="1">
      <alignment horizontal="center" vertical="center" wrapText="1"/>
    </xf>
    <xf numFmtId="20" fontId="16" fillId="0" borderId="85" xfId="0" applyNumberFormat="1" applyFont="1" applyFill="1" applyBorder="1" applyAlignment="1">
      <alignment horizontal="center" vertical="top"/>
    </xf>
    <xf numFmtId="0" fontId="16" fillId="0" borderId="86" xfId="0" applyFont="1" applyFill="1" applyBorder="1" applyAlignment="1">
      <alignment horizontal="center" vertical="top"/>
    </xf>
    <xf numFmtId="0" fontId="16" fillId="0" borderId="89" xfId="0" applyFont="1" applyFill="1" applyBorder="1" applyAlignment="1">
      <alignment horizontal="center" vertical="center"/>
    </xf>
    <xf numFmtId="164" fontId="22" fillId="5" borderId="121" xfId="0" applyNumberFormat="1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23" fillId="5" borderId="49" xfId="0" applyFont="1" applyFill="1" applyBorder="1" applyAlignment="1">
      <alignment horizontal="center" vertical="center"/>
    </xf>
    <xf numFmtId="0" fontId="2" fillId="0" borderId="48" xfId="0" applyFont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vertical="center"/>
    </xf>
    <xf numFmtId="0" fontId="23" fillId="0" borderId="49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4" fillId="0" borderId="56" xfId="0" applyFont="1" applyFill="1" applyBorder="1" applyAlignment="1">
      <alignment horizontal="center" vertical="center"/>
    </xf>
    <xf numFmtId="0" fontId="2" fillId="0" borderId="62" xfId="0" applyFont="1" applyFill="1" applyBorder="1" applyAlignment="1">
      <alignment horizontal="center" vertical="center"/>
    </xf>
    <xf numFmtId="0" fontId="24" fillId="0" borderId="72" xfId="0" applyFont="1" applyFill="1" applyBorder="1" applyAlignment="1">
      <alignment vertical="top" wrapText="1"/>
    </xf>
    <xf numFmtId="0" fontId="24" fillId="0" borderId="56" xfId="0" applyFont="1" applyFill="1" applyBorder="1" applyAlignment="1">
      <alignment horizontal="center" vertical="top" wrapText="1"/>
    </xf>
    <xf numFmtId="0" fontId="24" fillId="0" borderId="75" xfId="0" applyFont="1" applyFill="1" applyBorder="1" applyAlignment="1">
      <alignment horizontal="center"/>
    </xf>
    <xf numFmtId="164" fontId="21" fillId="0" borderId="0" xfId="0" applyNumberFormat="1" applyFont="1" applyFill="1"/>
    <xf numFmtId="164" fontId="0" fillId="0" borderId="0" xfId="0" applyNumberFormat="1"/>
    <xf numFmtId="164" fontId="19" fillId="0" borderId="95" xfId="0" applyNumberFormat="1" applyFont="1" applyFill="1" applyBorder="1" applyAlignment="1">
      <alignment horizontal="center" vertical="center"/>
    </xf>
    <xf numFmtId="164" fontId="19" fillId="0" borderId="100" xfId="0" applyNumberFormat="1" applyFont="1" applyFill="1" applyBorder="1" applyAlignment="1">
      <alignment horizontal="center" vertical="center"/>
    </xf>
    <xf numFmtId="164" fontId="19" fillId="0" borderId="103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14" fillId="0" borderId="95" xfId="0" applyFont="1" applyFill="1" applyBorder="1"/>
    <xf numFmtId="0" fontId="26" fillId="0" borderId="0" xfId="0" applyFont="1" applyFill="1" applyAlignment="1"/>
    <xf numFmtId="0" fontId="14" fillId="0" borderId="100" xfId="0" applyFont="1" applyFill="1" applyBorder="1"/>
    <xf numFmtId="0" fontId="14" fillId="0" borderId="103" xfId="0" applyFont="1" applyFill="1" applyBorder="1"/>
    <xf numFmtId="0" fontId="1" fillId="0" borderId="25" xfId="0" applyFont="1" applyFill="1" applyBorder="1" applyAlignment="1">
      <alignment vertical="center"/>
    </xf>
    <xf numFmtId="164" fontId="2" fillId="0" borderId="93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164" fontId="14" fillId="13" borderId="16" xfId="0" applyNumberFormat="1" applyFont="1" applyFill="1" applyBorder="1" applyAlignment="1">
      <alignment horizontal="center"/>
    </xf>
    <xf numFmtId="164" fontId="14" fillId="13" borderId="14" xfId="0" applyNumberFormat="1" applyFont="1" applyFill="1" applyBorder="1" applyAlignment="1">
      <alignment horizontal="center"/>
    </xf>
    <xf numFmtId="0" fontId="0" fillId="0" borderId="119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0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5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7" fillId="12" borderId="0" xfId="0" applyFont="1" applyFill="1" applyBorder="1" applyAlignment="1">
      <alignment horizontal="center" vertical="top" wrapText="1"/>
    </xf>
    <xf numFmtId="0" fontId="17" fillId="12" borderId="44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9" xfId="0" applyFont="1" applyFill="1" applyBorder="1" applyAlignment="1">
      <alignment horizontal="center" vertical="center"/>
    </xf>
    <xf numFmtId="0" fontId="14" fillId="3" borderId="96" xfId="0" applyFont="1" applyFill="1" applyBorder="1"/>
    <xf numFmtId="0" fontId="14" fillId="3" borderId="116" xfId="0" applyFont="1" applyFill="1" applyBorder="1"/>
    <xf numFmtId="166" fontId="14" fillId="10" borderId="109" xfId="0" applyNumberFormat="1" applyFont="1" applyFill="1" applyBorder="1" applyAlignment="1">
      <alignment horizontal="center" vertical="center"/>
    </xf>
    <xf numFmtId="0" fontId="14" fillId="10" borderId="111" xfId="0" applyFont="1" applyFill="1" applyBorder="1" applyAlignment="1">
      <alignment horizontal="center" vertical="center"/>
    </xf>
    <xf numFmtId="0" fontId="14" fillId="3" borderId="113" xfId="0" applyFont="1" applyFill="1" applyBorder="1"/>
    <xf numFmtId="0" fontId="14" fillId="3" borderId="118" xfId="0" applyFont="1" applyFill="1" applyBorder="1"/>
    <xf numFmtId="2" fontId="14" fillId="9" borderId="98" xfId="0" applyNumberFormat="1" applyFont="1" applyFill="1" applyBorder="1" applyAlignment="1">
      <alignment horizontal="center" vertical="center"/>
    </xf>
    <xf numFmtId="164" fontId="14" fillId="9" borderId="98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08" xfId="0" applyFont="1" applyFill="1" applyBorder="1" applyAlignment="1">
      <alignment horizontal="center" vertical="center"/>
    </xf>
    <xf numFmtId="0" fontId="14" fillId="3" borderId="112" xfId="0" applyFont="1" applyFill="1" applyBorder="1"/>
    <xf numFmtId="0" fontId="14" fillId="3" borderId="115" xfId="0" applyFont="1" applyFill="1" applyBorder="1"/>
    <xf numFmtId="2" fontId="14" fillId="9" borderId="109" xfId="0" applyNumberFormat="1" applyFont="1" applyFill="1" applyBorder="1" applyAlignment="1">
      <alignment horizontal="center" vertical="center"/>
    </xf>
    <xf numFmtId="0" fontId="14" fillId="3" borderId="114" xfId="0" applyFont="1" applyFill="1" applyBorder="1"/>
    <xf numFmtId="164" fontId="14" fillId="9" borderId="109" xfId="0" applyNumberFormat="1" applyFont="1" applyFill="1" applyBorder="1" applyAlignment="1">
      <alignment horizontal="center" vertical="center"/>
    </xf>
    <xf numFmtId="164" fontId="14" fillId="10" borderId="109" xfId="0" applyNumberFormat="1" applyFont="1" applyFill="1" applyBorder="1" applyAlignment="1">
      <alignment horizontal="center" vertical="center"/>
    </xf>
    <xf numFmtId="164" fontId="14" fillId="0" borderId="93" xfId="0" applyNumberFormat="1" applyFont="1" applyFill="1" applyBorder="1" applyAlignment="1">
      <alignment horizontal="center" vertical="center"/>
    </xf>
    <xf numFmtId="0" fontId="14" fillId="0" borderId="96" xfId="0" applyFont="1" applyFill="1" applyBorder="1"/>
    <xf numFmtId="0" fontId="14" fillId="0" borderId="102" xfId="0" applyFont="1" applyFill="1" applyBorder="1"/>
    <xf numFmtId="165" fontId="14" fillId="0" borderId="93" xfId="0" applyNumberFormat="1" applyFont="1" applyFill="1" applyBorder="1" applyAlignment="1">
      <alignment horizontal="center" vertical="center"/>
    </xf>
    <xf numFmtId="0" fontId="14" fillId="0" borderId="93" xfId="0" applyFont="1" applyFill="1" applyBorder="1" applyAlignment="1">
      <alignment horizontal="center" vertical="center"/>
    </xf>
    <xf numFmtId="0" fontId="14" fillId="0" borderId="99" xfId="0" applyFont="1" applyFill="1" applyBorder="1" applyAlignment="1">
      <alignment horizontal="center" vertical="center"/>
    </xf>
    <xf numFmtId="0" fontId="14" fillId="0" borderId="101" xfId="0" applyFont="1" applyFill="1" applyBorder="1"/>
    <xf numFmtId="0" fontId="14" fillId="0" borderId="104" xfId="0" applyFont="1" applyFill="1" applyBorder="1"/>
    <xf numFmtId="0" fontId="4" fillId="8" borderId="105" xfId="0" applyFont="1" applyFill="1" applyBorder="1" applyAlignment="1">
      <alignment horizontal="center" vertical="center" textRotation="90"/>
    </xf>
    <xf numFmtId="0" fontId="4" fillId="8" borderId="106" xfId="0" applyFont="1" applyFill="1" applyBorder="1" applyAlignment="1">
      <alignment horizontal="center" vertical="center" textRotation="90"/>
    </xf>
    <xf numFmtId="0" fontId="4" fillId="8" borderId="107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7" xfId="0" applyFont="1" applyFill="1" applyBorder="1" applyAlignment="1">
      <alignment horizontal="center" vertical="center"/>
    </xf>
    <xf numFmtId="0" fontId="14" fillId="0" borderId="74" xfId="0" applyFont="1" applyFill="1" applyBorder="1"/>
    <xf numFmtId="0" fontId="14" fillId="0" borderId="81" xfId="0" applyFont="1" applyFill="1" applyBorder="1"/>
    <xf numFmtId="2" fontId="14" fillId="0" borderId="93" xfId="0" applyNumberFormat="1" applyFont="1" applyFill="1" applyBorder="1" applyAlignment="1">
      <alignment horizontal="center" vertical="center"/>
    </xf>
    <xf numFmtId="0" fontId="14" fillId="7" borderId="44" xfId="0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horizontal="center"/>
    </xf>
    <xf numFmtId="0" fontId="14" fillId="7" borderId="44" xfId="0" applyFont="1" applyFill="1" applyBorder="1" applyAlignment="1">
      <alignment horizontal="center"/>
    </xf>
    <xf numFmtId="0" fontId="14" fillId="0" borderId="44" xfId="0" applyFont="1" applyBorder="1"/>
    <xf numFmtId="0" fontId="14" fillId="0" borderId="45" xfId="0" applyFont="1" applyBorder="1"/>
    <xf numFmtId="0" fontId="17" fillId="6" borderId="77" xfId="0" applyFont="1" applyFill="1" applyBorder="1" applyAlignment="1">
      <alignment horizontal="center" vertical="center" wrapText="1"/>
    </xf>
    <xf numFmtId="0" fontId="14" fillId="0" borderId="74" xfId="0" applyFont="1" applyBorder="1"/>
    <xf numFmtId="0" fontId="17" fillId="6" borderId="93" xfId="0" applyFont="1" applyFill="1" applyBorder="1" applyAlignment="1">
      <alignment horizontal="center" vertical="center" wrapText="1"/>
    </xf>
    <xf numFmtId="0" fontId="14" fillId="0" borderId="96" xfId="0" applyFont="1" applyBorder="1"/>
    <xf numFmtId="0" fontId="17" fillId="6" borderId="93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4" fillId="0" borderId="41" xfId="0" applyFont="1" applyBorder="1"/>
    <xf numFmtId="0" fontId="14" fillId="0" borderId="79" xfId="0" applyFont="1" applyBorder="1"/>
    <xf numFmtId="0" fontId="14" fillId="0" borderId="0" xfId="0" applyFont="1" applyBorder="1"/>
    <xf numFmtId="0" fontId="17" fillId="6" borderId="94" xfId="0" applyFont="1" applyFill="1" applyBorder="1" applyAlignment="1">
      <alignment horizontal="center" vertical="center" wrapText="1"/>
    </xf>
    <xf numFmtId="0" fontId="14" fillId="0" borderId="97" xfId="0" applyFont="1" applyBorder="1"/>
    <xf numFmtId="0" fontId="17" fillId="6" borderId="40" xfId="0" applyFont="1" applyFill="1" applyBorder="1" applyAlignment="1">
      <alignment horizontal="center" vertical="center" textRotation="90" wrapText="1"/>
    </xf>
    <xf numFmtId="0" fontId="14" fillId="0" borderId="91" xfId="0" applyFont="1" applyBorder="1"/>
    <xf numFmtId="0" fontId="14" fillId="0" borderId="43" xfId="0" applyFont="1" applyBorder="1"/>
    <xf numFmtId="0" fontId="14" fillId="0" borderId="40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/>
    </xf>
    <xf numFmtId="0" fontId="14" fillId="7" borderId="9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2" xfId="0" applyFont="1" applyBorder="1"/>
    <xf numFmtId="0" fontId="14" fillId="7" borderId="43" xfId="0" applyFont="1" applyFill="1" applyBorder="1" applyAlignment="1">
      <alignment horizontal="center" vertical="center" wrapText="1"/>
    </xf>
    <xf numFmtId="0" fontId="2" fillId="0" borderId="84" xfId="0" applyFont="1" applyFill="1" applyBorder="1" applyAlignment="1">
      <alignment horizontal="center" vertical="center" wrapText="1"/>
    </xf>
    <xf numFmtId="0" fontId="14" fillId="0" borderId="87" xfId="0" applyFont="1" applyFill="1" applyBorder="1"/>
    <xf numFmtId="0" fontId="2" fillId="0" borderId="63" xfId="0" applyFont="1" applyFill="1" applyBorder="1" applyAlignment="1">
      <alignment horizontal="center" vertical="center"/>
    </xf>
    <xf numFmtId="0" fontId="14" fillId="0" borderId="64" xfId="0" applyFont="1" applyFill="1" applyBorder="1"/>
    <xf numFmtId="0" fontId="2" fillId="0" borderId="63" xfId="0" applyFont="1" applyFill="1" applyBorder="1" applyAlignment="1">
      <alignment horizontal="center"/>
    </xf>
    <xf numFmtId="0" fontId="2" fillId="0" borderId="63" xfId="0" applyFont="1" applyFill="1" applyBorder="1" applyAlignment="1">
      <alignment horizontal="center" vertical="top"/>
    </xf>
    <xf numFmtId="0" fontId="16" fillId="0" borderId="63" xfId="0" applyFont="1" applyFill="1" applyBorder="1" applyAlignment="1">
      <alignment horizontal="center" vertical="center" wrapText="1"/>
    </xf>
    <xf numFmtId="0" fontId="15" fillId="0" borderId="90" xfId="0" applyFont="1" applyFill="1" applyBorder="1"/>
    <xf numFmtId="0" fontId="2" fillId="0" borderId="82" xfId="0" applyFont="1" applyFill="1" applyBorder="1" applyAlignment="1">
      <alignment horizontal="center" vertical="center"/>
    </xf>
    <xf numFmtId="0" fontId="2" fillId="0" borderId="84" xfId="0" applyFont="1" applyFill="1" applyBorder="1" applyAlignment="1">
      <alignment horizontal="center" vertical="center"/>
    </xf>
    <xf numFmtId="0" fontId="14" fillId="0" borderId="76" xfId="0" applyFont="1" applyFill="1" applyBorder="1"/>
    <xf numFmtId="0" fontId="2" fillId="0" borderId="84" xfId="0" applyFont="1" applyFill="1" applyBorder="1" applyAlignment="1">
      <alignment horizontal="center"/>
    </xf>
    <xf numFmtId="0" fontId="2" fillId="0" borderId="54" xfId="0" applyFont="1" applyFill="1" applyBorder="1" applyAlignment="1">
      <alignment horizontal="center" vertical="top"/>
    </xf>
    <xf numFmtId="0" fontId="14" fillId="0" borderId="55" xfId="0" applyFont="1" applyFill="1" applyBorder="1"/>
    <xf numFmtId="0" fontId="16" fillId="0" borderId="66" xfId="0" applyFont="1" applyFill="1" applyBorder="1" applyAlignment="1">
      <alignment horizontal="center"/>
    </xf>
    <xf numFmtId="0" fontId="15" fillId="0" borderId="66" xfId="0" applyFont="1" applyFill="1" applyBorder="1"/>
    <xf numFmtId="0" fontId="24" fillId="0" borderId="67" xfId="0" applyFont="1" applyFill="1" applyBorder="1" applyAlignment="1">
      <alignment horizontal="center"/>
    </xf>
    <xf numFmtId="0" fontId="15" fillId="0" borderId="68" xfId="0" applyFont="1" applyFill="1" applyBorder="1"/>
    <xf numFmtId="0" fontId="15" fillId="0" borderId="69" xfId="0" applyFont="1" applyFill="1" applyBorder="1"/>
    <xf numFmtId="0" fontId="24" fillId="0" borderId="70" xfId="0" applyFont="1" applyFill="1" applyBorder="1" applyAlignment="1">
      <alignment horizontal="center"/>
    </xf>
    <xf numFmtId="0" fontId="15" fillId="0" borderId="71" xfId="0" applyFont="1" applyFill="1" applyBorder="1"/>
    <xf numFmtId="0" fontId="17" fillId="6" borderId="73" xfId="0" applyFont="1" applyFill="1" applyBorder="1" applyAlignment="1">
      <alignment horizontal="center" vertical="center" wrapText="1"/>
    </xf>
    <xf numFmtId="0" fontId="14" fillId="0" borderId="80" xfId="0" applyFont="1" applyBorder="1"/>
    <xf numFmtId="0" fontId="14" fillId="0" borderId="88" xfId="0" applyFont="1" applyBorder="1"/>
    <xf numFmtId="0" fontId="25" fillId="0" borderId="74" xfId="0" applyFont="1" applyFill="1" applyBorder="1" applyAlignment="1">
      <alignment horizontal="center" vertical="center" wrapText="1"/>
    </xf>
    <xf numFmtId="0" fontId="2" fillId="0" borderId="75" xfId="0" applyFont="1" applyFill="1" applyBorder="1" applyAlignment="1">
      <alignment horizontal="center" vertical="center"/>
    </xf>
    <xf numFmtId="0" fontId="25" fillId="0" borderId="77" xfId="0" applyFont="1" applyFill="1" applyBorder="1" applyAlignment="1">
      <alignment horizontal="center" vertical="center" wrapText="1"/>
    </xf>
    <xf numFmtId="0" fontId="2" fillId="0" borderId="78" xfId="0" applyFont="1" applyFill="1" applyBorder="1" applyAlignment="1">
      <alignment horizontal="center" vertical="center"/>
    </xf>
    <xf numFmtId="0" fontId="23" fillId="0" borderId="79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41" xfId="0" applyFont="1" applyFill="1" applyBorder="1"/>
    <xf numFmtId="0" fontId="15" fillId="0" borderId="42" xfId="0" applyFont="1" applyFill="1" applyBorder="1"/>
    <xf numFmtId="0" fontId="15" fillId="0" borderId="83" xfId="0" applyFont="1" applyFill="1" applyBorder="1"/>
    <xf numFmtId="0" fontId="15" fillId="0" borderId="44" xfId="0" applyFont="1" applyFill="1" applyBorder="1"/>
    <xf numFmtId="0" fontId="15" fillId="0" borderId="45" xfId="0" applyFont="1" applyFill="1" applyBorder="1"/>
    <xf numFmtId="0" fontId="2" fillId="0" borderId="51" xfId="0" applyFont="1" applyFill="1" applyBorder="1" applyAlignment="1">
      <alignment horizontal="center" vertical="center"/>
    </xf>
    <xf numFmtId="0" fontId="14" fillId="0" borderId="52" xfId="0" applyFont="1" applyFill="1" applyBorder="1" applyAlignment="1">
      <alignment vertical="center"/>
    </xf>
    <xf numFmtId="0" fontId="16" fillId="0" borderId="53" xfId="0" applyFont="1" applyFill="1" applyBorder="1" applyAlignment="1">
      <alignment horizontal="center" vertical="center"/>
    </xf>
    <xf numFmtId="0" fontId="15" fillId="0" borderId="41" xfId="0" applyFont="1" applyFill="1" applyBorder="1" applyAlignment="1">
      <alignment vertical="center"/>
    </xf>
    <xf numFmtId="0" fontId="15" fillId="0" borderId="42" xfId="0" applyFont="1" applyFill="1" applyBorder="1" applyAlignment="1">
      <alignment vertical="center"/>
    </xf>
    <xf numFmtId="0" fontId="15" fillId="0" borderId="52" xfId="0" applyFont="1" applyFill="1" applyBorder="1" applyAlignment="1">
      <alignment vertical="center"/>
    </xf>
    <xf numFmtId="0" fontId="17" fillId="6" borderId="40" xfId="0" applyFont="1" applyFill="1" applyBorder="1" applyAlignment="1">
      <alignment horizontal="center" vertical="center" wrapText="1"/>
    </xf>
    <xf numFmtId="0" fontId="2" fillId="0" borderId="54" xfId="0" applyFont="1" applyFill="1" applyBorder="1" applyAlignment="1">
      <alignment horizontal="center"/>
    </xf>
    <xf numFmtId="0" fontId="2" fillId="0" borderId="57" xfId="0" applyFont="1" applyFill="1" applyBorder="1" applyAlignment="1">
      <alignment horizontal="center" vertical="center"/>
    </xf>
    <xf numFmtId="0" fontId="14" fillId="0" borderId="57" xfId="0" applyFont="1" applyFill="1" applyBorder="1"/>
    <xf numFmtId="0" fontId="2" fillId="0" borderId="58" xfId="0" applyFont="1" applyFill="1" applyBorder="1" applyAlignment="1">
      <alignment horizontal="center" vertical="center" wrapText="1"/>
    </xf>
    <xf numFmtId="0" fontId="14" fillId="0" borderId="59" xfId="0" applyFont="1" applyFill="1" applyBorder="1"/>
    <xf numFmtId="0" fontId="14" fillId="0" borderId="60" xfId="0" applyFont="1" applyFill="1" applyBorder="1"/>
    <xf numFmtId="0" fontId="2" fillId="0" borderId="57" xfId="0" applyFont="1" applyFill="1" applyBorder="1" applyAlignment="1">
      <alignment horizontal="center" vertical="center" wrapText="1"/>
    </xf>
    <xf numFmtId="0" fontId="14" fillId="0" borderId="61" xfId="0" applyFont="1" applyFill="1" applyBorder="1"/>
    <xf numFmtId="0" fontId="13" fillId="0" borderId="41" xfId="0" applyFont="1" applyBorder="1" applyAlignment="1">
      <alignment horizontal="center" wrapText="1"/>
    </xf>
    <xf numFmtId="14" fontId="16" fillId="0" borderId="47" xfId="0" applyNumberFormat="1" applyFont="1" applyFill="1" applyBorder="1" applyAlignment="1">
      <alignment horizontal="center" vertical="center"/>
    </xf>
    <xf numFmtId="0" fontId="15" fillId="0" borderId="48" xfId="0" applyFont="1" applyFill="1" applyBorder="1"/>
    <xf numFmtId="0" fontId="14" fillId="0" borderId="77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 wrapText="1"/>
    </xf>
    <xf numFmtId="0" fontId="1" fillId="0" borderId="122" xfId="0" applyFont="1" applyFill="1" applyBorder="1" applyAlignment="1">
      <alignment horizontal="center" vertical="center" wrapText="1"/>
    </xf>
    <xf numFmtId="0" fontId="1" fillId="0" borderId="123" xfId="0" applyFont="1" applyFill="1" applyBorder="1" applyAlignment="1">
      <alignment horizontal="center" vertical="center" wrapText="1"/>
    </xf>
    <xf numFmtId="0" fontId="0" fillId="0" borderId="32" xfId="0" applyFont="1" applyBorder="1"/>
    <xf numFmtId="0" fontId="0" fillId="0" borderId="12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7" fillId="0" borderId="124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8" fillId="0" borderId="124" xfId="0" applyFont="1" applyBorder="1" applyAlignment="1">
      <alignment horizontal="center" wrapText="1"/>
    </xf>
    <xf numFmtId="0" fontId="28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7" fillId="0" borderId="25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wrapText="1"/>
    </xf>
    <xf numFmtId="0" fontId="28" fillId="0" borderId="8" xfId="0" applyFont="1" applyBorder="1" applyAlignment="1">
      <alignment horizontal="center" wrapText="1"/>
    </xf>
    <xf numFmtId="0" fontId="23" fillId="0" borderId="47" xfId="0" applyFont="1" applyBorder="1" applyAlignment="1">
      <alignment horizontal="center" vertical="center" wrapText="1"/>
    </xf>
    <xf numFmtId="0" fontId="15" fillId="0" borderId="48" xfId="0" applyFont="1" applyBorder="1"/>
    <xf numFmtId="0" fontId="15" fillId="0" borderId="50" xfId="0" applyFont="1" applyBorder="1"/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16.jpe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jpeg"/><Relationship Id="rId7" Type="http://schemas.openxmlformats.org/officeDocument/2006/relationships/image" Target="../media/image9.png"/><Relationship Id="rId2" Type="http://schemas.openxmlformats.org/officeDocument/2006/relationships/image" Target="../media/image4.jpeg"/><Relationship Id="rId1" Type="http://schemas.openxmlformats.org/officeDocument/2006/relationships/image" Target="../media/image17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19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9</xdr:col>
      <xdr:colOff>0</xdr:colOff>
      <xdr:row>35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078941"/>
          <a:ext cx="5334000" cy="228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104</xdr:row>
      <xdr:rowOff>93927</xdr:rowOff>
    </xdr:from>
    <xdr:ext cx="29957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2" y="1973447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121</xdr:row>
      <xdr:rowOff>15875</xdr:rowOff>
    </xdr:from>
    <xdr:to>
      <xdr:col>5</xdr:col>
      <xdr:colOff>408063</xdr:colOff>
      <xdr:row>126</xdr:row>
      <xdr:rowOff>139739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3056850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121</xdr:row>
      <xdr:rowOff>15875</xdr:rowOff>
    </xdr:from>
    <xdr:to>
      <xdr:col>10</xdr:col>
      <xdr:colOff>481636</xdr:colOff>
      <xdr:row>126</xdr:row>
      <xdr:rowOff>139739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1" y="23056850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503889</xdr:colOff>
      <xdr:row>129</xdr:row>
      <xdr:rowOff>119063</xdr:rowOff>
    </xdr:from>
    <xdr:to>
      <xdr:col>10</xdr:col>
      <xdr:colOff>397983</xdr:colOff>
      <xdr:row>129</xdr:row>
      <xdr:rowOff>1940718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089" y="25741313"/>
          <a:ext cx="2751594" cy="1821655"/>
        </a:xfrm>
        <a:prstGeom prst="rect">
          <a:avLst/>
        </a:prstGeom>
      </xdr:spPr>
    </xdr:pic>
    <xdr:clientData/>
  </xdr:twoCellAnchor>
  <xdr:twoCellAnchor editAs="oneCell">
    <xdr:from>
      <xdr:col>1</xdr:col>
      <xdr:colOff>228158</xdr:colOff>
      <xdr:row>129</xdr:row>
      <xdr:rowOff>106457</xdr:rowOff>
    </xdr:from>
    <xdr:to>
      <xdr:col>5</xdr:col>
      <xdr:colOff>343587</xdr:colOff>
      <xdr:row>129</xdr:row>
      <xdr:rowOff>1906457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683" y="25728707"/>
          <a:ext cx="2896729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431307</xdr:colOff>
      <xdr:row>129</xdr:row>
      <xdr:rowOff>93172</xdr:rowOff>
    </xdr:from>
    <xdr:to>
      <xdr:col>15</xdr:col>
      <xdr:colOff>364237</xdr:colOff>
      <xdr:row>129</xdr:row>
      <xdr:rowOff>1893172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8382" y="25715422"/>
          <a:ext cx="2790430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98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8699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8699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101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9236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9236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101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9188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9188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101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9259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9259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101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9229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9229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101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9255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9255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98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8668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8668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98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8653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8653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98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8746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8746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114</xdr:row>
      <xdr:rowOff>93927</xdr:rowOff>
    </xdr:from>
    <xdr:ext cx="29957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2" y="2144897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131</xdr:row>
      <xdr:rowOff>15875</xdr:rowOff>
    </xdr:from>
    <xdr:to>
      <xdr:col>5</xdr:col>
      <xdr:colOff>408063</xdr:colOff>
      <xdr:row>136</xdr:row>
      <xdr:rowOff>139739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4742775"/>
          <a:ext cx="3041196" cy="180026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131</xdr:row>
      <xdr:rowOff>15875</xdr:rowOff>
    </xdr:from>
    <xdr:to>
      <xdr:col>10</xdr:col>
      <xdr:colOff>481636</xdr:colOff>
      <xdr:row>136</xdr:row>
      <xdr:rowOff>139739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1" y="24742775"/>
          <a:ext cx="3007085" cy="180026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626522</xdr:colOff>
      <xdr:row>139</xdr:row>
      <xdr:rowOff>93172</xdr:rowOff>
    </xdr:from>
    <xdr:to>
      <xdr:col>15</xdr:col>
      <xdr:colOff>169022</xdr:colOff>
      <xdr:row>139</xdr:row>
      <xdr:rowOff>1893172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3597" y="27401347"/>
          <a:ext cx="2400000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9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0414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950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903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974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3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943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970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5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0382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0367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0461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7</xdr:col>
      <xdr:colOff>370219</xdr:colOff>
      <xdr:row>139</xdr:row>
      <xdr:rowOff>119062</xdr:rowOff>
    </xdr:from>
    <xdr:to>
      <xdr:col>9</xdr:col>
      <xdr:colOff>291469</xdr:colOff>
      <xdr:row>139</xdr:row>
      <xdr:rowOff>1919062</xdr:rowOff>
    </xdr:to>
    <xdr:pic>
      <xdr:nvPicPr>
        <xdr:cNvPr id="18" name="Imagen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9794" y="27427237"/>
          <a:ext cx="1350000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332119</xdr:colOff>
      <xdr:row>139</xdr:row>
      <xdr:rowOff>140493</xdr:rowOff>
    </xdr:from>
    <xdr:to>
      <xdr:col>4</xdr:col>
      <xdr:colOff>253369</xdr:colOff>
      <xdr:row>139</xdr:row>
      <xdr:rowOff>1940492</xdr:rowOff>
    </xdr:to>
    <xdr:pic>
      <xdr:nvPicPr>
        <xdr:cNvPr id="19" name="Imagen 4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819" y="27448668"/>
          <a:ext cx="1350000" cy="1799999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</xdr:row>
      <xdr:rowOff>10300</xdr:rowOff>
    </xdr:from>
    <xdr:to>
      <xdr:col>3</xdr:col>
      <xdr:colOff>400050</xdr:colOff>
      <xdr:row>2</xdr:row>
      <xdr:rowOff>304458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9081" y="69831"/>
          <a:ext cx="1500188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99</xdr:row>
      <xdr:rowOff>93927</xdr:rowOff>
    </xdr:from>
    <xdr:ext cx="29957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2" y="1887722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116</xdr:row>
      <xdr:rowOff>15875</xdr:rowOff>
    </xdr:from>
    <xdr:to>
      <xdr:col>5</xdr:col>
      <xdr:colOff>408063</xdr:colOff>
      <xdr:row>121</xdr:row>
      <xdr:rowOff>139739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2171025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116</xdr:row>
      <xdr:rowOff>15875</xdr:rowOff>
    </xdr:from>
    <xdr:to>
      <xdr:col>10</xdr:col>
      <xdr:colOff>481636</xdr:colOff>
      <xdr:row>121</xdr:row>
      <xdr:rowOff>139739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1" y="22171025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464345</xdr:colOff>
      <xdr:row>124</xdr:row>
      <xdr:rowOff>93172</xdr:rowOff>
    </xdr:from>
    <xdr:to>
      <xdr:col>14</xdr:col>
      <xdr:colOff>189051</xdr:colOff>
      <xdr:row>124</xdr:row>
      <xdr:rowOff>1893172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795" y="24829597"/>
          <a:ext cx="1153456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93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9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842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8378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8331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8402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3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8371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8398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93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5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810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93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795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93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889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6</xdr:col>
      <xdr:colOff>200092</xdr:colOff>
      <xdr:row>124</xdr:row>
      <xdr:rowOff>142875</xdr:rowOff>
    </xdr:from>
    <xdr:to>
      <xdr:col>10</xdr:col>
      <xdr:colOff>563718</xdr:colOff>
      <xdr:row>124</xdr:row>
      <xdr:rowOff>1952625</xdr:rowOff>
    </xdr:to>
    <xdr:pic>
      <xdr:nvPicPr>
        <xdr:cNvPr id="18" name="Imagen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92" y="24879300"/>
          <a:ext cx="3221126" cy="1809750"/>
        </a:xfrm>
        <a:prstGeom prst="rect">
          <a:avLst/>
        </a:prstGeom>
      </xdr:spPr>
    </xdr:pic>
    <xdr:clientData/>
  </xdr:twoCellAnchor>
  <xdr:twoCellAnchor editAs="oneCell">
    <xdr:from>
      <xdr:col>2</xdr:col>
      <xdr:colOff>501466</xdr:colOff>
      <xdr:row>124</xdr:row>
      <xdr:rowOff>140493</xdr:rowOff>
    </xdr:from>
    <xdr:to>
      <xdr:col>4</xdr:col>
      <xdr:colOff>84022</xdr:colOff>
      <xdr:row>124</xdr:row>
      <xdr:rowOff>1940492</xdr:rowOff>
    </xdr:to>
    <xdr:pic>
      <xdr:nvPicPr>
        <xdr:cNvPr id="19" name="Imagen 4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166" y="24876918"/>
          <a:ext cx="1011306" cy="1799999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501218</xdr:colOff>
      <xdr:row>134</xdr:row>
      <xdr:rowOff>75622</xdr:rowOff>
    </xdr:from>
    <xdr:to>
      <xdr:col>15</xdr:col>
      <xdr:colOff>465666</xdr:colOff>
      <xdr:row>134</xdr:row>
      <xdr:rowOff>1947333</xdr:rowOff>
    </xdr:to>
    <xdr:pic>
      <xdr:nvPicPr>
        <xdr:cNvPr id="2" name="Imagen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7043" y="26526547"/>
          <a:ext cx="1393198" cy="1871711"/>
        </a:xfrm>
        <a:prstGeom prst="rect">
          <a:avLst/>
        </a:prstGeom>
      </xdr:spPr>
    </xdr:pic>
    <xdr:clientData/>
  </xdr:twoCellAnchor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3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109</xdr:row>
      <xdr:rowOff>93927</xdr:rowOff>
    </xdr:from>
    <xdr:ext cx="299578" cy="156518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170032" y="2059172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5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126</xdr:row>
      <xdr:rowOff>15875</xdr:rowOff>
    </xdr:from>
    <xdr:to>
      <xdr:col>5</xdr:col>
      <xdr:colOff>408063</xdr:colOff>
      <xdr:row>131</xdr:row>
      <xdr:rowOff>139739</xdr:rowOff>
    </xdr:to>
    <xdr:pic>
      <xdr:nvPicPr>
        <xdr:cNvPr id="6" name="Imagen 24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3885525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126</xdr:row>
      <xdr:rowOff>15875</xdr:rowOff>
    </xdr:from>
    <xdr:to>
      <xdr:col>10</xdr:col>
      <xdr:colOff>481636</xdr:colOff>
      <xdr:row>131</xdr:row>
      <xdr:rowOff>139739</xdr:rowOff>
    </xdr:to>
    <xdr:pic>
      <xdr:nvPicPr>
        <xdr:cNvPr id="7" name="Imagen 23"/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1" y="23885525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83345</xdr:colOff>
      <xdr:row>134</xdr:row>
      <xdr:rowOff>80407</xdr:rowOff>
    </xdr:from>
    <xdr:to>
      <xdr:col>13</xdr:col>
      <xdr:colOff>465666</xdr:colOff>
      <xdr:row>134</xdr:row>
      <xdr:rowOff>1446647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0420" y="26531332"/>
          <a:ext cx="1811071" cy="136624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103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9557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9557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106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093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0093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106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045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0045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106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116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0116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106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086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0086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106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113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0113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103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9525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9525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103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9510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9510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103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9604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8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9604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6</xdr:col>
      <xdr:colOff>476250</xdr:colOff>
      <xdr:row>134</xdr:row>
      <xdr:rowOff>39009</xdr:rowOff>
    </xdr:from>
    <xdr:to>
      <xdr:col>10</xdr:col>
      <xdr:colOff>149072</xdr:colOff>
      <xdr:row>134</xdr:row>
      <xdr:rowOff>1952625</xdr:rowOff>
    </xdr:to>
    <xdr:pic>
      <xdr:nvPicPr>
        <xdr:cNvPr id="19" name="Imagen 4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1450" y="26489934"/>
          <a:ext cx="2530322" cy="1913616"/>
        </a:xfrm>
        <a:prstGeom prst="rect">
          <a:avLst/>
        </a:prstGeom>
      </xdr:spPr>
    </xdr:pic>
    <xdr:clientData/>
  </xdr:twoCellAnchor>
  <xdr:twoCellAnchor editAs="oneCell">
    <xdr:from>
      <xdr:col>2</xdr:col>
      <xdr:colOff>306917</xdr:colOff>
      <xdr:row>134</xdr:row>
      <xdr:rowOff>99833</xdr:rowOff>
    </xdr:from>
    <xdr:to>
      <xdr:col>4</xdr:col>
      <xdr:colOff>296333</xdr:colOff>
      <xdr:row>134</xdr:row>
      <xdr:rowOff>2004833</xdr:rowOff>
    </xdr:to>
    <xdr:pic>
      <xdr:nvPicPr>
        <xdr:cNvPr id="20" name="Imagen 4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617" y="26550758"/>
          <a:ext cx="1418166" cy="190500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zoomScale="85" zoomScaleNormal="85" workbookViewId="0">
      <selection activeCell="F42" sqref="F42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10" t="s">
        <v>39</v>
      </c>
      <c r="C2" s="110"/>
      <c r="D2" s="110"/>
      <c r="E2" s="110"/>
      <c r="F2" s="110"/>
      <c r="G2" s="110"/>
      <c r="H2" s="110"/>
      <c r="I2" s="110"/>
      <c r="J2" s="110"/>
    </row>
    <row r="3" spans="2:10" ht="6.75" customHeight="1" x14ac:dyDescent="0.25">
      <c r="B3" s="111"/>
      <c r="C3" s="112"/>
      <c r="D3" s="112"/>
      <c r="E3" s="112"/>
      <c r="F3" s="112"/>
      <c r="G3" s="112"/>
      <c r="H3" s="112"/>
      <c r="I3" s="112"/>
      <c r="J3" s="113"/>
    </row>
    <row r="4" spans="2:10" x14ac:dyDescent="0.25">
      <c r="B4" s="114"/>
      <c r="C4" s="116"/>
      <c r="D4" s="116"/>
      <c r="E4" s="116"/>
      <c r="F4" s="116"/>
      <c r="G4" s="116"/>
      <c r="H4" s="116"/>
      <c r="I4" s="116"/>
      <c r="J4" s="117"/>
    </row>
    <row r="5" spans="2:10" x14ac:dyDescent="0.25">
      <c r="B5" s="114"/>
      <c r="C5" s="116"/>
      <c r="D5" s="116"/>
      <c r="E5" s="116"/>
      <c r="F5" s="116"/>
      <c r="G5" s="116"/>
      <c r="H5" s="116"/>
      <c r="I5" s="116"/>
      <c r="J5" s="117"/>
    </row>
    <row r="6" spans="2:10" x14ac:dyDescent="0.25">
      <c r="B6" s="114"/>
      <c r="C6" s="116"/>
      <c r="D6" s="116"/>
      <c r="E6" s="116"/>
      <c r="F6" s="116"/>
      <c r="G6" s="116"/>
      <c r="H6" s="116"/>
      <c r="I6" s="116"/>
      <c r="J6" s="117"/>
    </row>
    <row r="7" spans="2:10" x14ac:dyDescent="0.25">
      <c r="B7" s="114"/>
      <c r="C7" s="116"/>
      <c r="D7" s="116"/>
      <c r="E7" s="116"/>
      <c r="F7" s="116"/>
      <c r="G7" s="116"/>
      <c r="H7" s="116"/>
      <c r="I7" s="116"/>
      <c r="J7" s="117"/>
    </row>
    <row r="8" spans="2:10" x14ac:dyDescent="0.25">
      <c r="B8" s="114"/>
      <c r="C8" s="116"/>
      <c r="D8" s="116"/>
      <c r="E8" s="116"/>
      <c r="F8" s="116"/>
      <c r="G8" s="116"/>
      <c r="H8" s="116"/>
      <c r="I8" s="116"/>
      <c r="J8" s="117"/>
    </row>
    <row r="9" spans="2:10" x14ac:dyDescent="0.25">
      <c r="B9" s="114"/>
      <c r="C9" s="116"/>
      <c r="D9" s="116"/>
      <c r="E9" s="116"/>
      <c r="F9" s="116"/>
      <c r="G9" s="116"/>
      <c r="H9" s="116"/>
      <c r="I9" s="116"/>
      <c r="J9" s="117"/>
    </row>
    <row r="10" spans="2:10" x14ac:dyDescent="0.25">
      <c r="B10" s="114"/>
      <c r="C10" s="116"/>
      <c r="D10" s="116"/>
      <c r="E10" s="116"/>
      <c r="F10" s="116"/>
      <c r="G10" s="116"/>
      <c r="H10" s="116"/>
      <c r="I10" s="116"/>
      <c r="J10" s="117"/>
    </row>
    <row r="11" spans="2:10" x14ac:dyDescent="0.25">
      <c r="B11" s="114"/>
      <c r="C11" s="116"/>
      <c r="D11" s="116"/>
      <c r="E11" s="116"/>
      <c r="F11" s="116"/>
      <c r="G11" s="116"/>
      <c r="H11" s="116"/>
      <c r="I11" s="116"/>
      <c r="J11" s="117"/>
    </row>
    <row r="12" spans="2:10" x14ac:dyDescent="0.25">
      <c r="B12" s="114"/>
      <c r="C12" s="116"/>
      <c r="D12" s="116"/>
      <c r="E12" s="116"/>
      <c r="F12" s="116"/>
      <c r="G12" s="116"/>
      <c r="H12" s="116"/>
      <c r="I12" s="116"/>
      <c r="J12" s="117"/>
    </row>
    <row r="13" spans="2:10" x14ac:dyDescent="0.25">
      <c r="B13" s="114"/>
      <c r="C13" s="116"/>
      <c r="D13" s="116"/>
      <c r="E13" s="116"/>
      <c r="F13" s="116"/>
      <c r="G13" s="116"/>
      <c r="H13" s="116"/>
      <c r="I13" s="116"/>
      <c r="J13" s="117"/>
    </row>
    <row r="14" spans="2:10" x14ac:dyDescent="0.25">
      <c r="B14" s="114"/>
      <c r="C14" s="116"/>
      <c r="D14" s="116"/>
      <c r="E14" s="116"/>
      <c r="F14" s="116"/>
      <c r="G14" s="116"/>
      <c r="H14" s="116"/>
      <c r="I14" s="116"/>
      <c r="J14" s="117"/>
    </row>
    <row r="15" spans="2:10" x14ac:dyDescent="0.25">
      <c r="B15" s="114"/>
      <c r="C15" s="116"/>
      <c r="D15" s="116"/>
      <c r="E15" s="116"/>
      <c r="F15" s="116"/>
      <c r="G15" s="116"/>
      <c r="H15" s="116"/>
      <c r="I15" s="116"/>
      <c r="J15" s="117"/>
    </row>
    <row r="16" spans="2:10" x14ac:dyDescent="0.25">
      <c r="B16" s="114"/>
      <c r="C16" s="116"/>
      <c r="D16" s="116"/>
      <c r="E16" s="116"/>
      <c r="F16" s="116"/>
      <c r="G16" s="116"/>
      <c r="H16" s="116"/>
      <c r="I16" s="116"/>
      <c r="J16" s="117"/>
    </row>
    <row r="17" spans="2:10" x14ac:dyDescent="0.25">
      <c r="B17" s="114"/>
      <c r="C17" s="116"/>
      <c r="D17" s="116"/>
      <c r="E17" s="116"/>
      <c r="F17" s="116"/>
      <c r="G17" s="116"/>
      <c r="H17" s="116"/>
      <c r="I17" s="116"/>
      <c r="J17" s="117"/>
    </row>
    <row r="18" spans="2:10" x14ac:dyDescent="0.25">
      <c r="B18" s="114"/>
      <c r="C18" s="116"/>
      <c r="D18" s="116"/>
      <c r="E18" s="116"/>
      <c r="F18" s="116"/>
      <c r="G18" s="116"/>
      <c r="H18" s="116"/>
      <c r="I18" s="116"/>
      <c r="J18" s="117"/>
    </row>
    <row r="19" spans="2:10" x14ac:dyDescent="0.25">
      <c r="B19" s="114"/>
      <c r="C19" s="116"/>
      <c r="D19" s="116"/>
      <c r="E19" s="116"/>
      <c r="F19" s="116"/>
      <c r="G19" s="116"/>
      <c r="H19" s="116"/>
      <c r="I19" s="116"/>
      <c r="J19" s="117"/>
    </row>
    <row r="20" spans="2:10" ht="6.75" customHeight="1" x14ac:dyDescent="0.25">
      <c r="B20" s="115"/>
      <c r="C20" s="119"/>
      <c r="D20" s="119"/>
      <c r="E20" s="119"/>
      <c r="F20" s="119"/>
      <c r="G20" s="119"/>
      <c r="H20" s="119"/>
      <c r="I20" s="119"/>
      <c r="J20" s="118"/>
    </row>
    <row r="21" spans="2:10" x14ac:dyDescent="0.25">
      <c r="B21" s="1"/>
      <c r="C21" s="1"/>
      <c r="D21" s="1"/>
      <c r="E21" s="1"/>
      <c r="F21" s="1"/>
      <c r="G21" s="1"/>
      <c r="H21" s="1"/>
      <c r="I21" s="1"/>
    </row>
    <row r="22" spans="2:10" x14ac:dyDescent="0.25">
      <c r="B22" s="110" t="s">
        <v>40</v>
      </c>
      <c r="C22" s="110"/>
      <c r="D22" s="110"/>
      <c r="E22" s="110"/>
      <c r="F22" s="110"/>
      <c r="G22" s="110"/>
      <c r="H22" s="110"/>
      <c r="I22" s="110"/>
      <c r="J22" s="110"/>
    </row>
    <row r="23" spans="2:10" ht="6.75" customHeight="1" x14ac:dyDescent="0.25">
      <c r="B23" s="111"/>
      <c r="C23" s="112"/>
      <c r="D23" s="112"/>
      <c r="E23" s="112"/>
      <c r="F23" s="112"/>
      <c r="G23" s="112"/>
      <c r="H23" s="112"/>
      <c r="I23" s="112"/>
      <c r="J23" s="113"/>
    </row>
    <row r="24" spans="2:10" x14ac:dyDescent="0.25">
      <c r="B24" s="114"/>
      <c r="C24" s="116"/>
      <c r="D24" s="116"/>
      <c r="E24" s="116"/>
      <c r="F24" s="116"/>
      <c r="G24" s="116"/>
      <c r="H24" s="116"/>
      <c r="I24" s="116"/>
      <c r="J24" s="117"/>
    </row>
    <row r="25" spans="2:10" x14ac:dyDescent="0.25">
      <c r="B25" s="114"/>
      <c r="C25" s="116"/>
      <c r="D25" s="116"/>
      <c r="E25" s="116"/>
      <c r="F25" s="116"/>
      <c r="G25" s="116"/>
      <c r="H25" s="116"/>
      <c r="I25" s="116"/>
      <c r="J25" s="117"/>
    </row>
    <row r="26" spans="2:10" x14ac:dyDescent="0.25">
      <c r="B26" s="114"/>
      <c r="C26" s="116"/>
      <c r="D26" s="116"/>
      <c r="E26" s="116"/>
      <c r="F26" s="116"/>
      <c r="G26" s="116"/>
      <c r="H26" s="116"/>
      <c r="I26" s="116"/>
      <c r="J26" s="117"/>
    </row>
    <row r="27" spans="2:10" x14ac:dyDescent="0.25">
      <c r="B27" s="114"/>
      <c r="C27" s="116"/>
      <c r="D27" s="116"/>
      <c r="E27" s="116"/>
      <c r="F27" s="116"/>
      <c r="G27" s="116"/>
      <c r="H27" s="116"/>
      <c r="I27" s="116"/>
      <c r="J27" s="117"/>
    </row>
    <row r="28" spans="2:10" x14ac:dyDescent="0.25">
      <c r="B28" s="114"/>
      <c r="C28" s="116"/>
      <c r="D28" s="116"/>
      <c r="E28" s="116"/>
      <c r="F28" s="116"/>
      <c r="G28" s="116"/>
      <c r="H28" s="116"/>
      <c r="I28" s="116"/>
      <c r="J28" s="117"/>
    </row>
    <row r="29" spans="2:10" x14ac:dyDescent="0.25">
      <c r="B29" s="114"/>
      <c r="C29" s="116"/>
      <c r="D29" s="116"/>
      <c r="E29" s="116"/>
      <c r="F29" s="116"/>
      <c r="G29" s="116"/>
      <c r="H29" s="116"/>
      <c r="I29" s="116"/>
      <c r="J29" s="117"/>
    </row>
    <row r="30" spans="2:10" x14ac:dyDescent="0.25">
      <c r="B30" s="114"/>
      <c r="C30" s="116"/>
      <c r="D30" s="116"/>
      <c r="E30" s="116"/>
      <c r="F30" s="116"/>
      <c r="G30" s="116"/>
      <c r="H30" s="116"/>
      <c r="I30" s="116"/>
      <c r="J30" s="117"/>
    </row>
    <row r="31" spans="2:10" x14ac:dyDescent="0.25">
      <c r="B31" s="114"/>
      <c r="C31" s="116"/>
      <c r="D31" s="116"/>
      <c r="E31" s="116"/>
      <c r="F31" s="116"/>
      <c r="G31" s="116"/>
      <c r="H31" s="116"/>
      <c r="I31" s="116"/>
      <c r="J31" s="117"/>
    </row>
    <row r="32" spans="2:10" x14ac:dyDescent="0.25">
      <c r="B32" s="114"/>
      <c r="C32" s="116"/>
      <c r="D32" s="116"/>
      <c r="E32" s="116"/>
      <c r="F32" s="116"/>
      <c r="G32" s="116"/>
      <c r="H32" s="116"/>
      <c r="I32" s="116"/>
      <c r="J32" s="117"/>
    </row>
    <row r="33" spans="2:10" x14ac:dyDescent="0.25">
      <c r="B33" s="114"/>
      <c r="C33" s="116"/>
      <c r="D33" s="116"/>
      <c r="E33" s="116"/>
      <c r="F33" s="116"/>
      <c r="G33" s="116"/>
      <c r="H33" s="116"/>
      <c r="I33" s="116"/>
      <c r="J33" s="117"/>
    </row>
    <row r="34" spans="2:10" x14ac:dyDescent="0.25">
      <c r="B34" s="114"/>
      <c r="C34" s="116"/>
      <c r="D34" s="116"/>
      <c r="E34" s="116"/>
      <c r="F34" s="116"/>
      <c r="G34" s="116"/>
      <c r="H34" s="116"/>
      <c r="I34" s="116"/>
      <c r="J34" s="117"/>
    </row>
    <row r="35" spans="2:10" x14ac:dyDescent="0.25">
      <c r="B35" s="114"/>
      <c r="C35" s="116"/>
      <c r="D35" s="116"/>
      <c r="E35" s="116"/>
      <c r="F35" s="116"/>
      <c r="G35" s="116"/>
      <c r="H35" s="116"/>
      <c r="I35" s="116"/>
      <c r="J35" s="117"/>
    </row>
    <row r="36" spans="2:10" ht="6.75" customHeight="1" x14ac:dyDescent="0.25">
      <c r="B36" s="115"/>
      <c r="C36" s="119"/>
      <c r="D36" s="119"/>
      <c r="E36" s="119"/>
      <c r="F36" s="119"/>
      <c r="G36" s="119"/>
      <c r="H36" s="119"/>
      <c r="I36" s="119"/>
      <c r="J36" s="118"/>
    </row>
  </sheetData>
  <mergeCells count="12">
    <mergeCell ref="B2:J2"/>
    <mergeCell ref="C4:I19"/>
    <mergeCell ref="B3:J3"/>
    <mergeCell ref="B4:B20"/>
    <mergeCell ref="J4:J20"/>
    <mergeCell ref="C20:I20"/>
    <mergeCell ref="B22:J22"/>
    <mergeCell ref="B23:J23"/>
    <mergeCell ref="B24:B36"/>
    <mergeCell ref="C24:I35"/>
    <mergeCell ref="J24:J36"/>
    <mergeCell ref="C36:I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3"/>
  <sheetViews>
    <sheetView tabSelected="1" view="pageBreakPreview" zoomScaleSheetLayoutView="100" zoomScalePageLayoutView="110" workbookViewId="0">
      <selection activeCell="E19" sqref="E19:E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16"/>
      <c r="B2" s="317"/>
      <c r="C2" s="318"/>
      <c r="D2" s="319"/>
      <c r="E2" s="320" t="s">
        <v>117</v>
      </c>
      <c r="F2" s="321"/>
      <c r="G2" s="321"/>
      <c r="H2" s="321"/>
      <c r="I2" s="321"/>
      <c r="J2" s="321"/>
      <c r="K2" s="321"/>
      <c r="L2" s="321"/>
      <c r="M2" s="321"/>
      <c r="N2" s="321"/>
      <c r="O2" s="322"/>
      <c r="P2" s="323"/>
    </row>
    <row r="3" spans="1:26" s="2" customFormat="1" ht="25.5" customHeight="1" thickBot="1" x14ac:dyDescent="0.3">
      <c r="A3" s="316"/>
      <c r="B3" s="324"/>
      <c r="C3" s="325"/>
      <c r="D3" s="326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30"/>
    </row>
    <row r="4" spans="1:26" s="19" customFormat="1" ht="11.25" customHeight="1" thickBot="1" x14ac:dyDescent="0.3">
      <c r="A4" s="18"/>
      <c r="B4" s="30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2" customFormat="1" ht="31.5" customHeight="1" thickBot="1" x14ac:dyDescent="0.3">
      <c r="A5" s="20"/>
      <c r="B5" s="84" t="s">
        <v>0</v>
      </c>
      <c r="C5" s="307">
        <v>43274</v>
      </c>
      <c r="D5" s="308"/>
      <c r="E5" s="85" t="s">
        <v>52</v>
      </c>
      <c r="F5" s="86">
        <v>1</v>
      </c>
      <c r="G5" s="87" t="s">
        <v>1</v>
      </c>
      <c r="H5" s="331" t="s">
        <v>118</v>
      </c>
      <c r="I5" s="332"/>
      <c r="J5" s="332"/>
      <c r="K5" s="332"/>
      <c r="L5" s="332"/>
      <c r="M5" s="332"/>
      <c r="N5" s="332"/>
      <c r="O5" s="332"/>
      <c r="P5" s="333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s="92" customFormat="1" ht="21.75" customHeight="1" thickBot="1" x14ac:dyDescent="0.3">
      <c r="A6" s="88"/>
      <c r="B6" s="291" t="s">
        <v>2</v>
      </c>
      <c r="C6" s="292"/>
      <c r="D6" s="293" t="s">
        <v>107</v>
      </c>
      <c r="E6" s="294"/>
      <c r="F6" s="294"/>
      <c r="G6" s="294"/>
      <c r="H6" s="294"/>
      <c r="I6" s="295"/>
      <c r="J6" s="89" t="s">
        <v>3</v>
      </c>
      <c r="K6" s="293" t="s">
        <v>108</v>
      </c>
      <c r="L6" s="295"/>
      <c r="M6" s="293" t="s">
        <v>109</v>
      </c>
      <c r="N6" s="296"/>
      <c r="O6" s="90" t="s">
        <v>53</v>
      </c>
      <c r="P6" s="91"/>
    </row>
    <row r="7" spans="1:26" s="22" customFormat="1" ht="21.75" customHeight="1" x14ac:dyDescent="0.25">
      <c r="B7" s="297" t="s">
        <v>54</v>
      </c>
      <c r="C7" s="298" t="s">
        <v>55</v>
      </c>
      <c r="D7" s="269"/>
      <c r="E7" s="93"/>
      <c r="F7" s="299" t="s">
        <v>56</v>
      </c>
      <c r="G7" s="300"/>
      <c r="H7" s="300"/>
      <c r="I7" s="300"/>
      <c r="J7" s="301" t="s">
        <v>57</v>
      </c>
      <c r="K7" s="302"/>
      <c r="L7" s="302"/>
      <c r="M7" s="303"/>
      <c r="N7" s="304" t="s">
        <v>110</v>
      </c>
      <c r="O7" s="305"/>
      <c r="P7" s="94" t="s">
        <v>58</v>
      </c>
    </row>
    <row r="8" spans="1:26" s="22" customFormat="1" ht="21.75" customHeight="1" thickBot="1" x14ac:dyDescent="0.3">
      <c r="B8" s="243"/>
      <c r="C8" s="260" t="s">
        <v>59</v>
      </c>
      <c r="D8" s="259"/>
      <c r="E8" s="76" t="s">
        <v>4</v>
      </c>
      <c r="F8" s="270" t="s">
        <v>5</v>
      </c>
      <c r="G8" s="271"/>
      <c r="H8" s="271"/>
      <c r="I8" s="271"/>
      <c r="J8" s="272"/>
      <c r="K8" s="273"/>
      <c r="L8" s="273"/>
      <c r="M8" s="274"/>
      <c r="N8" s="275"/>
      <c r="O8" s="276"/>
      <c r="P8" s="95"/>
    </row>
    <row r="9" spans="1:26" s="22" customFormat="1" ht="21.75" customHeight="1" x14ac:dyDescent="0.25">
      <c r="B9" s="277" t="s">
        <v>6</v>
      </c>
      <c r="C9" s="280" t="s">
        <v>60</v>
      </c>
      <c r="D9" s="281" t="s">
        <v>61</v>
      </c>
      <c r="E9" s="266"/>
      <c r="F9" s="96"/>
      <c r="G9" s="282" t="s">
        <v>7</v>
      </c>
      <c r="H9" s="283" t="s">
        <v>8</v>
      </c>
      <c r="I9" s="269"/>
      <c r="J9" s="97"/>
      <c r="K9" s="280" t="s">
        <v>62</v>
      </c>
      <c r="L9" s="284" t="s">
        <v>111</v>
      </c>
      <c r="M9" s="285"/>
      <c r="N9" s="286"/>
      <c r="O9" s="286"/>
      <c r="P9" s="287"/>
    </row>
    <row r="10" spans="1:26" s="22" customFormat="1" ht="21.75" customHeight="1" thickBot="1" x14ac:dyDescent="0.3">
      <c r="B10" s="278"/>
      <c r="C10" s="223"/>
      <c r="D10" s="264" t="s">
        <v>63</v>
      </c>
      <c r="E10" s="259"/>
      <c r="F10" s="78" t="s">
        <v>4</v>
      </c>
      <c r="G10" s="223"/>
      <c r="H10" s="264" t="s">
        <v>9</v>
      </c>
      <c r="I10" s="259"/>
      <c r="J10" s="79" t="s">
        <v>4</v>
      </c>
      <c r="K10" s="223"/>
      <c r="L10" s="288"/>
      <c r="M10" s="289"/>
      <c r="N10" s="289"/>
      <c r="O10" s="289"/>
      <c r="P10" s="290"/>
    </row>
    <row r="11" spans="1:26" s="22" customFormat="1" ht="21.75" customHeight="1" x14ac:dyDescent="0.25">
      <c r="A11" s="20"/>
      <c r="B11" s="278"/>
      <c r="C11" s="265" t="s">
        <v>10</v>
      </c>
      <c r="D11" s="266"/>
      <c r="E11" s="80">
        <v>0.3263888888888889</v>
      </c>
      <c r="F11" s="267" t="s">
        <v>11</v>
      </c>
      <c r="G11" s="266"/>
      <c r="H11" s="81">
        <v>1.25</v>
      </c>
      <c r="I11" s="268" t="s">
        <v>12</v>
      </c>
      <c r="J11" s="269"/>
      <c r="K11" s="81">
        <v>22</v>
      </c>
      <c r="L11" s="265" t="s">
        <v>13</v>
      </c>
      <c r="M11" s="266"/>
      <c r="N11" s="77">
        <v>16.53</v>
      </c>
      <c r="O11" s="256" t="s">
        <v>64</v>
      </c>
      <c r="P11" s="257"/>
    </row>
    <row r="12" spans="1:26" s="22" customFormat="1" ht="21.75" customHeight="1" thickBot="1" x14ac:dyDescent="0.3">
      <c r="A12" s="20"/>
      <c r="B12" s="279"/>
      <c r="C12" s="258" t="s">
        <v>14</v>
      </c>
      <c r="D12" s="259"/>
      <c r="E12" s="80">
        <v>0.39444444444444443</v>
      </c>
      <c r="F12" s="260" t="s">
        <v>15</v>
      </c>
      <c r="G12" s="259"/>
      <c r="H12" s="81">
        <v>1.28</v>
      </c>
      <c r="I12" s="261" t="s">
        <v>16</v>
      </c>
      <c r="J12" s="259"/>
      <c r="K12" s="80">
        <v>0.34375</v>
      </c>
      <c r="L12" s="258" t="s">
        <v>17</v>
      </c>
      <c r="M12" s="259"/>
      <c r="N12" s="82">
        <v>1</v>
      </c>
      <c r="O12" s="262">
        <v>2.5</v>
      </c>
      <c r="P12" s="263"/>
    </row>
    <row r="13" spans="1:26" s="22" customFormat="1" ht="21.75" customHeight="1" x14ac:dyDescent="0.25">
      <c r="A13" s="20"/>
      <c r="B13" s="241" t="s">
        <v>18</v>
      </c>
      <c r="C13" s="244" t="s">
        <v>65</v>
      </c>
      <c r="D13" s="245"/>
      <c r="E13" s="245"/>
      <c r="F13" s="246" t="s">
        <v>66</v>
      </c>
      <c r="G13" s="245"/>
      <c r="H13" s="245"/>
      <c r="I13" s="245"/>
      <c r="J13" s="246" t="s">
        <v>67</v>
      </c>
      <c r="K13" s="245"/>
      <c r="L13" s="245"/>
      <c r="M13" s="245"/>
      <c r="N13" s="247" t="s">
        <v>68</v>
      </c>
      <c r="O13" s="245"/>
      <c r="P13" s="248"/>
      <c r="Q13" s="23"/>
      <c r="R13" s="21"/>
      <c r="S13" s="21"/>
      <c r="T13" s="21"/>
      <c r="U13" s="21"/>
      <c r="V13" s="21"/>
      <c r="W13" s="21"/>
      <c r="X13" s="21"/>
      <c r="Y13" s="21"/>
      <c r="Z13" s="21"/>
    </row>
    <row r="14" spans="1:26" s="22" customFormat="1" ht="21.75" customHeight="1" x14ac:dyDescent="0.25">
      <c r="A14" s="20"/>
      <c r="B14" s="242"/>
      <c r="C14" s="249" t="s">
        <v>69</v>
      </c>
      <c r="D14" s="250"/>
      <c r="E14" s="250"/>
      <c r="F14" s="251" t="s">
        <v>70</v>
      </c>
      <c r="G14" s="250"/>
      <c r="H14" s="250"/>
      <c r="I14" s="250"/>
      <c r="J14" s="252" t="s">
        <v>71</v>
      </c>
      <c r="K14" s="250"/>
      <c r="L14" s="250"/>
      <c r="M14" s="250"/>
      <c r="N14" s="253"/>
      <c r="O14" s="238"/>
      <c r="P14" s="254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s="22" customFormat="1" ht="21.75" customHeight="1" thickBot="1" x14ac:dyDescent="0.3">
      <c r="A15" s="20"/>
      <c r="B15" s="243"/>
      <c r="C15" s="255" t="s">
        <v>72</v>
      </c>
      <c r="D15" s="225"/>
      <c r="E15" s="225"/>
      <c r="F15" s="225" t="s">
        <v>73</v>
      </c>
      <c r="G15" s="226"/>
      <c r="H15" s="226"/>
      <c r="I15" s="226"/>
      <c r="J15" s="225" t="s">
        <v>74</v>
      </c>
      <c r="K15" s="226"/>
      <c r="L15" s="226"/>
      <c r="M15" s="226"/>
      <c r="N15" s="227"/>
      <c r="O15" s="228"/>
      <c r="P15" s="229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s="22" customFormat="1" ht="21.75" customHeight="1" x14ac:dyDescent="0.25">
      <c r="A16" s="20"/>
      <c r="B16" s="230" t="s">
        <v>19</v>
      </c>
      <c r="C16" s="232" t="s">
        <v>20</v>
      </c>
      <c r="D16" s="232" t="s">
        <v>41</v>
      </c>
      <c r="E16" s="234" t="s">
        <v>21</v>
      </c>
      <c r="F16" s="235" t="s">
        <v>42</v>
      </c>
      <c r="G16" s="236"/>
      <c r="H16" s="232" t="s">
        <v>75</v>
      </c>
      <c r="I16" s="239" t="s">
        <v>76</v>
      </c>
      <c r="J16" s="24" t="s">
        <v>43</v>
      </c>
      <c r="K16" s="25"/>
      <c r="L16" s="26" t="s">
        <v>44</v>
      </c>
      <c r="M16" s="26" t="s">
        <v>45</v>
      </c>
      <c r="N16" s="26" t="s">
        <v>45</v>
      </c>
      <c r="O16" s="26" t="s">
        <v>46</v>
      </c>
      <c r="P16" s="27" t="s">
        <v>22</v>
      </c>
    </row>
    <row r="17" spans="1:26" s="22" customFormat="1" ht="21.75" customHeight="1" thickBot="1" x14ac:dyDescent="0.3">
      <c r="A17" s="28"/>
      <c r="B17" s="231"/>
      <c r="C17" s="233"/>
      <c r="D17" s="233"/>
      <c r="E17" s="233"/>
      <c r="F17" s="237"/>
      <c r="G17" s="238"/>
      <c r="H17" s="233"/>
      <c r="I17" s="240"/>
      <c r="J17" s="29" t="s">
        <v>23</v>
      </c>
      <c r="K17" s="30" t="s">
        <v>24</v>
      </c>
      <c r="L17" s="30" t="s">
        <v>47</v>
      </c>
      <c r="M17" s="30" t="s">
        <v>48</v>
      </c>
      <c r="N17" s="30" t="s">
        <v>25</v>
      </c>
      <c r="O17" s="30" t="s">
        <v>26</v>
      </c>
      <c r="P17" s="31" t="s">
        <v>27</v>
      </c>
    </row>
    <row r="18" spans="1:26" s="40" customFormat="1" ht="21.75" customHeight="1" thickBot="1" x14ac:dyDescent="0.3">
      <c r="A18" s="32"/>
      <c r="B18" s="33"/>
      <c r="C18" s="34">
        <f>+O12</f>
        <v>2.5</v>
      </c>
      <c r="D18" s="34">
        <v>5.7000000000000002E-2</v>
      </c>
      <c r="E18" s="35"/>
      <c r="F18" s="36"/>
      <c r="G18" s="75"/>
      <c r="H18" s="37"/>
      <c r="I18" s="38"/>
      <c r="J18" s="74"/>
      <c r="K18" s="35"/>
      <c r="L18" s="35"/>
      <c r="M18" s="35"/>
      <c r="N18" s="35"/>
      <c r="O18" s="35"/>
      <c r="P18" s="39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s="40" customFormat="1" ht="13.5" customHeight="1" x14ac:dyDescent="0.25">
      <c r="A19" s="32"/>
      <c r="B19" s="221">
        <v>1</v>
      </c>
      <c r="C19" s="224">
        <f>+C18+$N$12</f>
        <v>3.5</v>
      </c>
      <c r="D19" s="201">
        <v>0.22600000000000001</v>
      </c>
      <c r="E19" s="201">
        <v>0.13700000000000001</v>
      </c>
      <c r="F19" s="41" t="s">
        <v>77</v>
      </c>
      <c r="G19" s="42">
        <v>0</v>
      </c>
      <c r="H19" s="43"/>
      <c r="I19" s="44"/>
      <c r="J19" s="45"/>
      <c r="K19" s="201">
        <f>+IF(E19&lt;=0.12,(J21),(IF(E19&lt;0.16,((J20+2*J21+J22)/4),IF(E19&gt;=0.16,((J19+3*J20+2*J21+3*J22+J23)/10)))))</f>
        <v>3.5249999999999997E-2</v>
      </c>
      <c r="L19" s="201">
        <f>ROUND(+(D18+D19)/2*(C19-C18),3)</f>
        <v>0.14199999999999999</v>
      </c>
      <c r="M19" s="201">
        <f>ROUND(+K19*L19,4)</f>
        <v>5.0000000000000001E-3</v>
      </c>
      <c r="N19" s="204">
        <f>ROUND(+M19/$M$118*100,2)</f>
        <v>0.14000000000000001</v>
      </c>
      <c r="O19" s="205"/>
      <c r="P19" s="206"/>
      <c r="Q19" s="32"/>
      <c r="R19" s="98"/>
      <c r="T19" s="32"/>
      <c r="U19" s="32"/>
      <c r="V19" s="32"/>
      <c r="W19" s="32"/>
      <c r="X19" s="32"/>
      <c r="Y19" s="32"/>
      <c r="Z19" s="32"/>
    </row>
    <row r="20" spans="1:26" s="40" customFormat="1" ht="13.5" customHeight="1" x14ac:dyDescent="0.25">
      <c r="A20" s="32"/>
      <c r="B20" s="222"/>
      <c r="C20" s="202"/>
      <c r="D20" s="202"/>
      <c r="E20" s="202"/>
      <c r="F20" s="46" t="s">
        <v>78</v>
      </c>
      <c r="G20" s="47">
        <f>IF(E19&lt;0.125,"NA",IF(0.125&lt;=E19,(0.2*E19)))</f>
        <v>2.7400000000000004E-2</v>
      </c>
      <c r="H20" s="48"/>
      <c r="I20" s="49"/>
      <c r="J20" s="50">
        <v>2.5000000000000001E-2</v>
      </c>
      <c r="K20" s="202"/>
      <c r="L20" s="202"/>
      <c r="M20" s="202"/>
      <c r="N20" s="202"/>
      <c r="O20" s="202"/>
      <c r="P20" s="207"/>
      <c r="Q20" s="32"/>
      <c r="R20" s="32"/>
      <c r="S20" s="98"/>
      <c r="T20" s="32"/>
      <c r="U20" s="32"/>
      <c r="V20" s="32"/>
      <c r="W20" s="32"/>
      <c r="X20" s="32"/>
      <c r="Y20" s="32"/>
      <c r="Z20" s="32"/>
    </row>
    <row r="21" spans="1:26" s="40" customFormat="1" ht="13.5" customHeight="1" x14ac:dyDescent="0.25">
      <c r="A21" s="32"/>
      <c r="B21" s="222"/>
      <c r="C21" s="202"/>
      <c r="D21" s="202"/>
      <c r="E21" s="202"/>
      <c r="F21" s="46" t="s">
        <v>79</v>
      </c>
      <c r="G21" s="47">
        <f>+E19*0.4</f>
        <v>5.4800000000000008E-2</v>
      </c>
      <c r="H21" s="48"/>
      <c r="I21" s="49"/>
      <c r="J21" s="50">
        <v>3.1E-2</v>
      </c>
      <c r="K21" s="202"/>
      <c r="L21" s="202"/>
      <c r="M21" s="202"/>
      <c r="N21" s="202"/>
      <c r="O21" s="202"/>
      <c r="P21" s="207"/>
      <c r="Q21" s="32"/>
      <c r="R21" s="98"/>
      <c r="S21" s="98"/>
      <c r="T21" s="32"/>
      <c r="U21" s="32"/>
      <c r="V21" s="32"/>
      <c r="W21" s="32"/>
      <c r="X21" s="32"/>
      <c r="Y21" s="32"/>
      <c r="Z21" s="32"/>
    </row>
    <row r="22" spans="1:26" s="40" customFormat="1" ht="13.5" customHeight="1" x14ac:dyDescent="0.25">
      <c r="A22" s="32"/>
      <c r="B22" s="222"/>
      <c r="C22" s="202"/>
      <c r="D22" s="202"/>
      <c r="E22" s="202"/>
      <c r="F22" s="46" t="s">
        <v>80</v>
      </c>
      <c r="G22" s="47">
        <f>IF(E19&lt;0.125,"NA",IF(0.125&lt;=E19,(0.8*E19)))</f>
        <v>0.10960000000000002</v>
      </c>
      <c r="H22" s="48"/>
      <c r="I22" s="49"/>
      <c r="J22" s="50">
        <v>5.3999999999999999E-2</v>
      </c>
      <c r="K22" s="202"/>
      <c r="L22" s="202"/>
      <c r="M22" s="202"/>
      <c r="N22" s="202"/>
      <c r="O22" s="202"/>
      <c r="P22" s="207"/>
      <c r="Q22" s="32"/>
      <c r="R22" s="32"/>
      <c r="S22" s="98"/>
      <c r="T22" s="32"/>
      <c r="U22" s="32"/>
      <c r="V22" s="32"/>
      <c r="W22" s="32"/>
      <c r="X22" s="32"/>
      <c r="Y22" s="32"/>
      <c r="Z22" s="32"/>
    </row>
    <row r="23" spans="1:26" s="40" customFormat="1" ht="13.5" customHeight="1" thickBot="1" x14ac:dyDescent="0.3">
      <c r="A23" s="32"/>
      <c r="B23" s="223"/>
      <c r="C23" s="203"/>
      <c r="D23" s="203"/>
      <c r="E23" s="203"/>
      <c r="F23" s="51" t="s">
        <v>81</v>
      </c>
      <c r="G23" s="52">
        <f>+E19</f>
        <v>0.13700000000000001</v>
      </c>
      <c r="H23" s="53"/>
      <c r="I23" s="54"/>
      <c r="J23" s="55"/>
      <c r="K23" s="203"/>
      <c r="L23" s="203"/>
      <c r="M23" s="203"/>
      <c r="N23" s="203"/>
      <c r="O23" s="203"/>
      <c r="P23" s="208"/>
      <c r="Q23" s="32"/>
      <c r="R23" s="98"/>
      <c r="S23" s="98"/>
      <c r="T23" s="32"/>
      <c r="U23" s="32"/>
      <c r="V23" s="32"/>
      <c r="W23" s="32"/>
      <c r="X23" s="32"/>
      <c r="Y23" s="32"/>
      <c r="Z23" s="32"/>
    </row>
    <row r="24" spans="1:26" s="40" customFormat="1" ht="13.5" customHeight="1" x14ac:dyDescent="0.25">
      <c r="A24" s="32"/>
      <c r="B24" s="221">
        <v>2</v>
      </c>
      <c r="C24" s="224">
        <f>+C19+$N$12</f>
        <v>4.5</v>
      </c>
      <c r="D24" s="201">
        <v>0.6</v>
      </c>
      <c r="E24" s="201">
        <v>0.502</v>
      </c>
      <c r="F24" s="41" t="s">
        <v>77</v>
      </c>
      <c r="G24" s="42">
        <v>0</v>
      </c>
      <c r="H24" s="43"/>
      <c r="I24" s="44"/>
      <c r="J24" s="45">
        <v>4.4999999999999998E-2</v>
      </c>
      <c r="K24" s="201">
        <f>+IF(E24&lt;=0.12,(J26),(IF(E24&lt;0.16,((J25+2*J26+J27)/4),IF(E24&gt;=0.16,((J24+3*J25+2*J26+3*J27+J28)/10)))))</f>
        <v>5.4099999999999995E-2</v>
      </c>
      <c r="L24" s="201">
        <f>ROUND(+(D19+D24)/2*(C24-C19),3)</f>
        <v>0.41299999999999998</v>
      </c>
      <c r="M24" s="201">
        <f>ROUND(+K24*L24,4)</f>
        <v>2.23E-2</v>
      </c>
      <c r="N24" s="204">
        <f>ROUND(+M24/$M$118*100,2)</f>
        <v>0.64</v>
      </c>
      <c r="O24" s="205"/>
      <c r="P24" s="206"/>
      <c r="Q24" s="32"/>
      <c r="R24" s="32"/>
      <c r="T24" s="32"/>
      <c r="U24" s="32"/>
      <c r="V24" s="32"/>
      <c r="W24" s="32"/>
      <c r="X24" s="32"/>
      <c r="Y24" s="32"/>
      <c r="Z24" s="32"/>
    </row>
    <row r="25" spans="1:26" s="40" customFormat="1" ht="13.5" customHeight="1" x14ac:dyDescent="0.25">
      <c r="A25" s="32"/>
      <c r="B25" s="222"/>
      <c r="C25" s="202"/>
      <c r="D25" s="202"/>
      <c r="E25" s="202"/>
      <c r="F25" s="46" t="s">
        <v>78</v>
      </c>
      <c r="G25" s="47">
        <f t="shared" ref="G25" si="0">IF(E24&lt;0.125,"NA",IF(0.125&lt;=E24,(0.2*E24)))</f>
        <v>0.1004</v>
      </c>
      <c r="H25" s="48"/>
      <c r="I25" s="49"/>
      <c r="J25" s="50">
        <v>4.5999999999999999E-2</v>
      </c>
      <c r="K25" s="202"/>
      <c r="L25" s="202"/>
      <c r="M25" s="202"/>
      <c r="N25" s="202"/>
      <c r="O25" s="202"/>
      <c r="P25" s="207"/>
      <c r="Q25" s="32"/>
      <c r="R25" s="98"/>
      <c r="S25" s="98"/>
      <c r="T25" s="32"/>
      <c r="U25" s="32"/>
      <c r="V25" s="32"/>
      <c r="W25" s="32"/>
      <c r="X25" s="32"/>
      <c r="Y25" s="32"/>
      <c r="Z25" s="32"/>
    </row>
    <row r="26" spans="1:26" s="40" customFormat="1" ht="13.5" customHeight="1" x14ac:dyDescent="0.25">
      <c r="A26" s="32"/>
      <c r="B26" s="222"/>
      <c r="C26" s="202"/>
      <c r="D26" s="202"/>
      <c r="E26" s="202"/>
      <c r="F26" s="46" t="s">
        <v>79</v>
      </c>
      <c r="G26" s="47">
        <f t="shared" ref="G26" si="1">+E24*0.4</f>
        <v>0.20080000000000001</v>
      </c>
      <c r="H26" s="48"/>
      <c r="I26" s="49"/>
      <c r="J26" s="50">
        <v>5.6000000000000001E-2</v>
      </c>
      <c r="K26" s="202"/>
      <c r="L26" s="202"/>
      <c r="M26" s="202"/>
      <c r="N26" s="202"/>
      <c r="O26" s="202"/>
      <c r="P26" s="207"/>
      <c r="Q26" s="32"/>
      <c r="R26" s="32"/>
      <c r="S26" s="98"/>
      <c r="T26" s="32"/>
      <c r="U26" s="32"/>
      <c r="V26" s="32"/>
      <c r="W26" s="32"/>
      <c r="X26" s="32"/>
      <c r="Y26" s="32"/>
      <c r="Z26" s="32"/>
    </row>
    <row r="27" spans="1:26" s="40" customFormat="1" ht="13.5" customHeight="1" x14ac:dyDescent="0.25">
      <c r="A27" s="32"/>
      <c r="B27" s="222"/>
      <c r="C27" s="202"/>
      <c r="D27" s="202"/>
      <c r="E27" s="202"/>
      <c r="F27" s="46" t="s">
        <v>80</v>
      </c>
      <c r="G27" s="47">
        <f t="shared" ref="G27" si="2">IF(E24&lt;0.125,"NA",IF(0.125&lt;=E24,(0.8*E24)))</f>
        <v>0.40160000000000001</v>
      </c>
      <c r="H27" s="48"/>
      <c r="I27" s="49"/>
      <c r="J27" s="50">
        <v>0.06</v>
      </c>
      <c r="K27" s="202"/>
      <c r="L27" s="202"/>
      <c r="M27" s="202"/>
      <c r="N27" s="202"/>
      <c r="O27" s="202"/>
      <c r="P27" s="207"/>
      <c r="Q27" s="32"/>
      <c r="R27" s="98"/>
      <c r="S27" s="98"/>
      <c r="T27" s="32"/>
      <c r="U27" s="32"/>
      <c r="V27" s="32"/>
      <c r="W27" s="32"/>
      <c r="X27" s="32"/>
      <c r="Y27" s="32"/>
      <c r="Z27" s="32"/>
    </row>
    <row r="28" spans="1:26" s="40" customFormat="1" ht="13.5" customHeight="1" thickBot="1" x14ac:dyDescent="0.3">
      <c r="A28" s="32"/>
      <c r="B28" s="223"/>
      <c r="C28" s="203"/>
      <c r="D28" s="203"/>
      <c r="E28" s="203"/>
      <c r="F28" s="51" t="s">
        <v>81</v>
      </c>
      <c r="G28" s="52">
        <f t="shared" ref="G28" si="3">+E24</f>
        <v>0.502</v>
      </c>
      <c r="H28" s="53"/>
      <c r="I28" s="54"/>
      <c r="J28" s="55">
        <v>6.6000000000000003E-2</v>
      </c>
      <c r="K28" s="203"/>
      <c r="L28" s="203"/>
      <c r="M28" s="203"/>
      <c r="N28" s="203"/>
      <c r="O28" s="203"/>
      <c r="P28" s="208"/>
      <c r="Q28" s="32"/>
      <c r="R28" s="32"/>
      <c r="S28" s="98"/>
      <c r="T28" s="32"/>
      <c r="U28" s="32"/>
      <c r="V28" s="32"/>
      <c r="W28" s="32"/>
      <c r="X28" s="32"/>
      <c r="Y28" s="32"/>
      <c r="Z28" s="32"/>
    </row>
    <row r="29" spans="1:26" s="40" customFormat="1" ht="13.5" customHeight="1" x14ac:dyDescent="0.25">
      <c r="A29" s="32"/>
      <c r="B29" s="221">
        <v>3</v>
      </c>
      <c r="C29" s="224">
        <f>+C24+$N$12</f>
        <v>5.5</v>
      </c>
      <c r="D29" s="201">
        <v>0.504</v>
      </c>
      <c r="E29" s="201">
        <v>0.5</v>
      </c>
      <c r="F29" s="41" t="s">
        <v>77</v>
      </c>
      <c r="G29" s="42">
        <v>0</v>
      </c>
      <c r="H29" s="43"/>
      <c r="I29" s="44"/>
      <c r="J29" s="45">
        <v>7.4999999999999997E-2</v>
      </c>
      <c r="K29" s="201">
        <f t="shared" ref="K29" si="4">+IF(E29&lt;=0.12,(J31),(IF(E29&lt;0.16,((J30+2*J31+J32)/4),IF(E29&gt;=0.16,((J29+3*J30+2*J31+3*J32+J33)/10)))))</f>
        <v>0.1444</v>
      </c>
      <c r="L29" s="201">
        <f>ROUND(+(D24+D29)/2*(C29-C24),3)</f>
        <v>0.55200000000000005</v>
      </c>
      <c r="M29" s="201">
        <f t="shared" ref="M29" si="5">ROUND(+K29*L29,4)</f>
        <v>7.9699999999999993E-2</v>
      </c>
      <c r="N29" s="204">
        <f t="shared" ref="N29" si="6">ROUND(+M29/$M$118*100,2)</f>
        <v>2.29</v>
      </c>
      <c r="O29" s="205"/>
      <c r="P29" s="206"/>
      <c r="Q29" s="32"/>
      <c r="R29" s="98"/>
      <c r="T29" s="32"/>
      <c r="U29" s="32"/>
      <c r="V29" s="32"/>
      <c r="W29" s="32"/>
      <c r="X29" s="32"/>
      <c r="Y29" s="32"/>
      <c r="Z29" s="32"/>
    </row>
    <row r="30" spans="1:26" s="40" customFormat="1" ht="13.5" customHeight="1" x14ac:dyDescent="0.25">
      <c r="A30" s="32"/>
      <c r="B30" s="222"/>
      <c r="C30" s="202"/>
      <c r="D30" s="202"/>
      <c r="E30" s="202"/>
      <c r="F30" s="46" t="s">
        <v>78</v>
      </c>
      <c r="G30" s="47">
        <f t="shared" ref="G30" si="7">IF(E29&lt;0.125,"NA",IF(0.125&lt;=E29,(0.2*E29)))</f>
        <v>0.1</v>
      </c>
      <c r="H30" s="48"/>
      <c r="I30" s="49"/>
      <c r="J30" s="50">
        <v>0.11799999999999999</v>
      </c>
      <c r="K30" s="202"/>
      <c r="L30" s="202"/>
      <c r="M30" s="202"/>
      <c r="N30" s="202"/>
      <c r="O30" s="202"/>
      <c r="P30" s="207"/>
      <c r="Q30" s="32"/>
      <c r="R30" s="32"/>
      <c r="S30" s="98"/>
      <c r="T30" s="32"/>
      <c r="U30" s="32"/>
      <c r="V30" s="32"/>
      <c r="W30" s="32"/>
      <c r="X30" s="32"/>
      <c r="Y30" s="32"/>
      <c r="Z30" s="32"/>
    </row>
    <row r="31" spans="1:26" s="40" customFormat="1" ht="13.5" customHeight="1" x14ac:dyDescent="0.25">
      <c r="A31" s="32"/>
      <c r="B31" s="222"/>
      <c r="C31" s="202"/>
      <c r="D31" s="202"/>
      <c r="E31" s="202"/>
      <c r="F31" s="46" t="s">
        <v>79</v>
      </c>
      <c r="G31" s="47">
        <f t="shared" ref="G31" si="8">+E29*0.4</f>
        <v>0.2</v>
      </c>
      <c r="H31" s="48"/>
      <c r="I31" s="49"/>
      <c r="J31" s="50">
        <v>0.16700000000000001</v>
      </c>
      <c r="K31" s="202"/>
      <c r="L31" s="202"/>
      <c r="M31" s="202"/>
      <c r="N31" s="202"/>
      <c r="O31" s="202"/>
      <c r="P31" s="207"/>
      <c r="Q31" s="32"/>
      <c r="R31" s="98"/>
      <c r="S31" s="98"/>
      <c r="T31" s="32"/>
      <c r="U31" s="32"/>
      <c r="V31" s="32"/>
      <c r="W31" s="32"/>
      <c r="X31" s="32"/>
      <c r="Y31" s="32"/>
      <c r="Z31" s="32"/>
    </row>
    <row r="32" spans="1:26" s="40" customFormat="1" ht="13.5" customHeight="1" x14ac:dyDescent="0.25">
      <c r="A32" s="32"/>
      <c r="B32" s="222"/>
      <c r="C32" s="202"/>
      <c r="D32" s="202"/>
      <c r="E32" s="202"/>
      <c r="F32" s="46" t="s">
        <v>80</v>
      </c>
      <c r="G32" s="47">
        <f t="shared" ref="G32" si="9">IF(E29&lt;0.125,"NA",IF(0.125&lt;=E29,(0.8*E29)))</f>
        <v>0.4</v>
      </c>
      <c r="H32" s="48"/>
      <c r="I32" s="49"/>
      <c r="J32" s="50">
        <v>0.16900000000000001</v>
      </c>
      <c r="K32" s="202"/>
      <c r="L32" s="202"/>
      <c r="M32" s="202"/>
      <c r="N32" s="202"/>
      <c r="O32" s="202"/>
      <c r="P32" s="207"/>
      <c r="Q32" s="32"/>
      <c r="R32" s="32"/>
      <c r="S32" s="98"/>
      <c r="T32" s="32"/>
      <c r="U32" s="32"/>
      <c r="V32" s="32"/>
      <c r="W32" s="32"/>
      <c r="X32" s="32"/>
      <c r="Y32" s="32"/>
      <c r="Z32" s="32"/>
    </row>
    <row r="33" spans="1:26" s="40" customFormat="1" ht="13.5" customHeight="1" thickBot="1" x14ac:dyDescent="0.3">
      <c r="A33" s="32"/>
      <c r="B33" s="223"/>
      <c r="C33" s="203"/>
      <c r="D33" s="203"/>
      <c r="E33" s="203"/>
      <c r="F33" s="51" t="s">
        <v>81</v>
      </c>
      <c r="G33" s="52">
        <f t="shared" ref="G33" si="10">+E29</f>
        <v>0.5</v>
      </c>
      <c r="H33" s="53"/>
      <c r="I33" s="54"/>
      <c r="J33" s="55">
        <v>0.17399999999999999</v>
      </c>
      <c r="K33" s="203"/>
      <c r="L33" s="203"/>
      <c r="M33" s="203"/>
      <c r="N33" s="203"/>
      <c r="O33" s="203"/>
      <c r="P33" s="208"/>
      <c r="Q33" s="32"/>
      <c r="R33" s="98"/>
      <c r="S33" s="98"/>
      <c r="T33" s="32"/>
      <c r="U33" s="32"/>
      <c r="V33" s="32"/>
      <c r="W33" s="32"/>
      <c r="X33" s="32"/>
      <c r="Y33" s="32"/>
      <c r="Z33" s="32"/>
    </row>
    <row r="34" spans="1:26" s="40" customFormat="1" ht="13.5" customHeight="1" x14ac:dyDescent="0.25">
      <c r="A34" s="32"/>
      <c r="B34" s="221">
        <v>4</v>
      </c>
      <c r="C34" s="224">
        <f>+C29+$N$12</f>
        <v>6.5</v>
      </c>
      <c r="D34" s="201">
        <v>0.56899999999999995</v>
      </c>
      <c r="E34" s="201">
        <v>0.56699999999999995</v>
      </c>
      <c r="F34" s="41" t="s">
        <v>77</v>
      </c>
      <c r="G34" s="42">
        <v>0</v>
      </c>
      <c r="H34" s="43"/>
      <c r="I34" s="44"/>
      <c r="J34" s="45">
        <v>0.216</v>
      </c>
      <c r="K34" s="201">
        <f t="shared" ref="K34" si="11">+IF(E34&lt;=0.12,(J36),(IF(E34&lt;0.16,((J35+2*J36+J37)/4),IF(E34&gt;=0.16,((J34+3*J35+2*J36+3*J37+J38)/10)))))</f>
        <v>0.36570000000000003</v>
      </c>
      <c r="L34" s="201">
        <f>ROUND(+(D29+D34)/2*(C34-C29),3)</f>
        <v>0.53700000000000003</v>
      </c>
      <c r="M34" s="201">
        <f t="shared" ref="M34" si="12">ROUND(+K34*L34,4)</f>
        <v>0.19639999999999999</v>
      </c>
      <c r="N34" s="204">
        <f t="shared" ref="N34" si="13">ROUND(+M34/$M$118*100,2)</f>
        <v>5.65</v>
      </c>
      <c r="O34" s="205"/>
      <c r="P34" s="206"/>
      <c r="Q34" s="32"/>
      <c r="R34" s="32"/>
      <c r="T34" s="32"/>
      <c r="U34" s="32"/>
      <c r="V34" s="32"/>
      <c r="W34" s="32"/>
      <c r="X34" s="32"/>
      <c r="Y34" s="32"/>
      <c r="Z34" s="32"/>
    </row>
    <row r="35" spans="1:26" s="40" customFormat="1" ht="13.5" customHeight="1" x14ac:dyDescent="0.25">
      <c r="A35" s="32"/>
      <c r="B35" s="222"/>
      <c r="C35" s="202"/>
      <c r="D35" s="202"/>
      <c r="E35" s="202"/>
      <c r="F35" s="46" t="s">
        <v>78</v>
      </c>
      <c r="G35" s="47">
        <f t="shared" ref="G35" si="14">IF(E34&lt;0.125,"NA",IF(0.125&lt;=E34,(0.2*E34)))</f>
        <v>0.1134</v>
      </c>
      <c r="H35" s="48"/>
      <c r="I35" s="49"/>
      <c r="J35" s="50">
        <v>0.25800000000000001</v>
      </c>
      <c r="K35" s="202"/>
      <c r="L35" s="202"/>
      <c r="M35" s="202"/>
      <c r="N35" s="202"/>
      <c r="O35" s="202"/>
      <c r="P35" s="207"/>
      <c r="Q35" s="32"/>
      <c r="R35" s="98"/>
      <c r="S35" s="98"/>
      <c r="T35" s="32"/>
      <c r="U35" s="32"/>
      <c r="V35" s="32"/>
      <c r="W35" s="32"/>
      <c r="X35" s="32"/>
      <c r="Y35" s="32"/>
      <c r="Z35" s="32"/>
    </row>
    <row r="36" spans="1:26" s="40" customFormat="1" ht="13.5" customHeight="1" x14ac:dyDescent="0.25">
      <c r="A36" s="32"/>
      <c r="B36" s="222"/>
      <c r="C36" s="202"/>
      <c r="D36" s="202"/>
      <c r="E36" s="202"/>
      <c r="F36" s="46" t="s">
        <v>79</v>
      </c>
      <c r="G36" s="47">
        <f t="shared" ref="G36" si="15">+E34*0.4</f>
        <v>0.2268</v>
      </c>
      <c r="H36" s="48"/>
      <c r="I36" s="49"/>
      <c r="J36" s="50">
        <v>0.433</v>
      </c>
      <c r="K36" s="202"/>
      <c r="L36" s="202"/>
      <c r="M36" s="202"/>
      <c r="N36" s="202"/>
      <c r="O36" s="202"/>
      <c r="P36" s="207"/>
      <c r="Q36" s="32"/>
      <c r="R36" s="32"/>
      <c r="S36" s="98"/>
      <c r="T36" s="32"/>
      <c r="U36" s="32"/>
      <c r="V36" s="32"/>
      <c r="W36" s="32"/>
      <c r="X36" s="32"/>
      <c r="Y36" s="32"/>
      <c r="Z36" s="32"/>
    </row>
    <row r="37" spans="1:26" s="40" customFormat="1" ht="13.5" customHeight="1" x14ac:dyDescent="0.25">
      <c r="A37" s="32"/>
      <c r="B37" s="222"/>
      <c r="C37" s="202"/>
      <c r="D37" s="202"/>
      <c r="E37" s="202"/>
      <c r="F37" s="46" t="s">
        <v>80</v>
      </c>
      <c r="G37" s="47">
        <f t="shared" ref="G37" si="16">IF(E34&lt;0.125,"NA",IF(0.125&lt;=E34,(0.8*E34)))</f>
        <v>0.4536</v>
      </c>
      <c r="H37" s="48"/>
      <c r="I37" s="49"/>
      <c r="J37" s="50">
        <v>0.44800000000000001</v>
      </c>
      <c r="K37" s="202"/>
      <c r="L37" s="202"/>
      <c r="M37" s="202"/>
      <c r="N37" s="202"/>
      <c r="O37" s="202"/>
      <c r="P37" s="207"/>
      <c r="Q37" s="32"/>
      <c r="R37" s="98"/>
      <c r="S37" s="98"/>
      <c r="T37" s="32"/>
      <c r="U37" s="32"/>
      <c r="V37" s="32"/>
      <c r="W37" s="32"/>
      <c r="X37" s="32"/>
      <c r="Y37" s="32"/>
      <c r="Z37" s="32"/>
    </row>
    <row r="38" spans="1:26" s="40" customFormat="1" ht="13.5" customHeight="1" thickBot="1" x14ac:dyDescent="0.3">
      <c r="A38" s="32"/>
      <c r="B38" s="223"/>
      <c r="C38" s="203"/>
      <c r="D38" s="203"/>
      <c r="E38" s="203"/>
      <c r="F38" s="51" t="s">
        <v>81</v>
      </c>
      <c r="G38" s="52">
        <f t="shared" ref="G38" si="17">+E34</f>
        <v>0.56699999999999995</v>
      </c>
      <c r="H38" s="53"/>
      <c r="I38" s="54"/>
      <c r="J38" s="55">
        <v>0.45700000000000002</v>
      </c>
      <c r="K38" s="203"/>
      <c r="L38" s="203"/>
      <c r="M38" s="203"/>
      <c r="N38" s="203"/>
      <c r="O38" s="203"/>
      <c r="P38" s="208"/>
      <c r="Q38" s="32"/>
      <c r="R38" s="32"/>
      <c r="S38" s="98"/>
      <c r="T38" s="32"/>
      <c r="U38" s="32"/>
      <c r="V38" s="32"/>
      <c r="W38" s="32"/>
      <c r="X38" s="32"/>
      <c r="Y38" s="32"/>
      <c r="Z38" s="32"/>
    </row>
    <row r="39" spans="1:26" s="40" customFormat="1" ht="13.5" customHeight="1" x14ac:dyDescent="0.25">
      <c r="A39" s="32"/>
      <c r="B39" s="221">
        <v>5</v>
      </c>
      <c r="C39" s="224">
        <f>+C34+$N$12</f>
        <v>7.5</v>
      </c>
      <c r="D39" s="201">
        <v>0.626</v>
      </c>
      <c r="E39" s="201">
        <v>0.62</v>
      </c>
      <c r="F39" s="41" t="s">
        <v>77</v>
      </c>
      <c r="G39" s="42">
        <v>0</v>
      </c>
      <c r="H39" s="43"/>
      <c r="I39" s="44"/>
      <c r="J39" s="45"/>
      <c r="K39" s="201"/>
      <c r="L39" s="201"/>
      <c r="M39" s="201"/>
      <c r="N39" s="204"/>
      <c r="O39" s="205"/>
      <c r="P39" s="206"/>
      <c r="Q39" s="32"/>
      <c r="R39" s="98"/>
      <c r="T39" s="32"/>
      <c r="U39" s="32"/>
      <c r="V39" s="32"/>
      <c r="W39" s="32"/>
      <c r="X39" s="32"/>
      <c r="Y39" s="32"/>
      <c r="Z39" s="32"/>
    </row>
    <row r="40" spans="1:26" s="40" customFormat="1" ht="13.5" customHeight="1" x14ac:dyDescent="0.25">
      <c r="A40" s="32"/>
      <c r="B40" s="222"/>
      <c r="C40" s="202"/>
      <c r="D40" s="202"/>
      <c r="E40" s="202"/>
      <c r="F40" s="46" t="s">
        <v>78</v>
      </c>
      <c r="G40" s="47">
        <f t="shared" ref="G40" si="18">IF(E39&lt;0.125,"NA",IF(0.125&lt;=E39,(0.2*E39)))</f>
        <v>0.124</v>
      </c>
      <c r="H40" s="48"/>
      <c r="I40" s="49"/>
      <c r="J40" s="50"/>
      <c r="K40" s="202"/>
      <c r="L40" s="202"/>
      <c r="M40" s="202"/>
      <c r="N40" s="202"/>
      <c r="O40" s="202"/>
      <c r="P40" s="207"/>
      <c r="Q40" s="32"/>
      <c r="R40" s="32"/>
      <c r="S40" s="98"/>
      <c r="T40" s="32"/>
      <c r="U40" s="32"/>
      <c r="V40" s="32"/>
      <c r="W40" s="32"/>
      <c r="X40" s="32"/>
      <c r="Y40" s="32"/>
      <c r="Z40" s="32"/>
    </row>
    <row r="41" spans="1:26" s="40" customFormat="1" ht="13.5" customHeight="1" x14ac:dyDescent="0.25">
      <c r="A41" s="32"/>
      <c r="B41" s="222"/>
      <c r="C41" s="202"/>
      <c r="D41" s="202"/>
      <c r="E41" s="202"/>
      <c r="F41" s="46" t="s">
        <v>79</v>
      </c>
      <c r="G41" s="47">
        <f t="shared" ref="G41" si="19">+E39*0.4</f>
        <v>0.248</v>
      </c>
      <c r="H41" s="48"/>
      <c r="I41" s="49"/>
      <c r="J41" s="50"/>
      <c r="K41" s="202"/>
      <c r="L41" s="202"/>
      <c r="M41" s="202"/>
      <c r="N41" s="202"/>
      <c r="O41" s="202"/>
      <c r="P41" s="207"/>
      <c r="Q41" s="32"/>
      <c r="R41" s="98"/>
      <c r="S41" s="98"/>
      <c r="T41" s="32"/>
      <c r="U41" s="32"/>
      <c r="V41" s="32"/>
      <c r="W41" s="32"/>
      <c r="X41" s="32"/>
      <c r="Y41" s="32"/>
      <c r="Z41" s="32"/>
    </row>
    <row r="42" spans="1:26" s="40" customFormat="1" ht="13.5" customHeight="1" x14ac:dyDescent="0.25">
      <c r="A42" s="32"/>
      <c r="B42" s="222"/>
      <c r="C42" s="202"/>
      <c r="D42" s="202"/>
      <c r="E42" s="202"/>
      <c r="F42" s="46" t="s">
        <v>80</v>
      </c>
      <c r="G42" s="47">
        <f t="shared" ref="G42" si="20">IF(E39&lt;0.125,"NA",IF(0.125&lt;=E39,(0.8*E39)))</f>
        <v>0.496</v>
      </c>
      <c r="H42" s="48"/>
      <c r="I42" s="49"/>
      <c r="J42" s="50"/>
      <c r="K42" s="202"/>
      <c r="L42" s="202"/>
      <c r="M42" s="202"/>
      <c r="N42" s="202"/>
      <c r="O42" s="202"/>
      <c r="P42" s="207"/>
      <c r="Q42" s="32"/>
      <c r="R42" s="32"/>
      <c r="S42" s="98"/>
      <c r="T42" s="32"/>
      <c r="U42" s="32"/>
      <c r="V42" s="32"/>
      <c r="W42" s="32"/>
      <c r="X42" s="32"/>
      <c r="Y42" s="32"/>
      <c r="Z42" s="32"/>
    </row>
    <row r="43" spans="1:26" s="40" customFormat="1" ht="13.5" customHeight="1" thickBot="1" x14ac:dyDescent="0.3">
      <c r="A43" s="32"/>
      <c r="B43" s="223"/>
      <c r="C43" s="203"/>
      <c r="D43" s="203"/>
      <c r="E43" s="203"/>
      <c r="F43" s="51" t="s">
        <v>81</v>
      </c>
      <c r="G43" s="52">
        <f t="shared" ref="G43" si="21">+E39</f>
        <v>0.62</v>
      </c>
      <c r="H43" s="53"/>
      <c r="I43" s="54"/>
      <c r="J43" s="55"/>
      <c r="K43" s="203"/>
      <c r="L43" s="203"/>
      <c r="M43" s="203"/>
      <c r="N43" s="203"/>
      <c r="O43" s="203"/>
      <c r="P43" s="208"/>
      <c r="Q43" s="32"/>
      <c r="R43" s="98"/>
      <c r="S43" s="98"/>
      <c r="T43" s="32"/>
      <c r="U43" s="32"/>
      <c r="V43" s="32"/>
      <c r="W43" s="32"/>
      <c r="X43" s="32"/>
      <c r="Y43" s="32"/>
      <c r="Z43" s="32"/>
    </row>
    <row r="44" spans="1:26" s="40" customFormat="1" ht="13.5" customHeight="1" x14ac:dyDescent="0.25">
      <c r="A44" s="32"/>
      <c r="B44" s="221">
        <v>6</v>
      </c>
      <c r="C44" s="224">
        <f t="shared" ref="C44" si="22">+C39+$N$12</f>
        <v>8.5</v>
      </c>
      <c r="D44" s="201">
        <v>0.503</v>
      </c>
      <c r="E44" s="201">
        <v>0.51400000000000001</v>
      </c>
      <c r="F44" s="41" t="s">
        <v>77</v>
      </c>
      <c r="G44" s="42">
        <v>0</v>
      </c>
      <c r="H44" s="43"/>
      <c r="I44" s="44"/>
      <c r="J44" s="45">
        <v>0.42099999999999999</v>
      </c>
      <c r="K44" s="201">
        <f t="shared" ref="K44" si="23">+IF(E44&lt;=0.12,(J46),(IF(E44&lt;0.16,((J45+2*J46+J47)/4),IF(E44&gt;=0.16,((J44+3*J45+2*J46+3*J47+J48)/10)))))</f>
        <v>0.70799999999999996</v>
      </c>
      <c r="L44" s="201">
        <f>ROUND(+(D39+D44)/2*(C44-C39),3)</f>
        <v>0.56499999999999995</v>
      </c>
      <c r="M44" s="201">
        <f t="shared" ref="M44" si="24">ROUND(+K44*L44,4)</f>
        <v>0.4</v>
      </c>
      <c r="N44" s="204">
        <f t="shared" ref="N44" si="25">ROUND(+M44/$M$118*100,2)</f>
        <v>11.5</v>
      </c>
      <c r="O44" s="205"/>
      <c r="P44" s="206"/>
      <c r="Q44" s="32"/>
      <c r="R44" s="32"/>
      <c r="T44" s="32"/>
      <c r="U44" s="32"/>
      <c r="V44" s="32"/>
      <c r="W44" s="32"/>
      <c r="X44" s="32"/>
      <c r="Y44" s="32"/>
      <c r="Z44" s="32"/>
    </row>
    <row r="45" spans="1:26" s="40" customFormat="1" ht="13.5" customHeight="1" x14ac:dyDescent="0.25">
      <c r="A45" s="32"/>
      <c r="B45" s="222"/>
      <c r="C45" s="202"/>
      <c r="D45" s="202"/>
      <c r="E45" s="202"/>
      <c r="F45" s="46" t="s">
        <v>78</v>
      </c>
      <c r="G45" s="47">
        <f t="shared" ref="G45" si="26">IF(E44&lt;0.125,"NA",IF(0.125&lt;=E44,(0.2*E44)))</f>
        <v>0.1028</v>
      </c>
      <c r="H45" s="48"/>
      <c r="I45" s="49"/>
      <c r="J45" s="50">
        <v>0.621</v>
      </c>
      <c r="K45" s="202"/>
      <c r="L45" s="202"/>
      <c r="M45" s="202"/>
      <c r="N45" s="202"/>
      <c r="O45" s="202"/>
      <c r="P45" s="207"/>
      <c r="Q45" s="32"/>
      <c r="R45" s="98"/>
      <c r="S45" s="98"/>
      <c r="T45" s="32"/>
      <c r="U45" s="32"/>
      <c r="V45" s="32"/>
      <c r="W45" s="32"/>
      <c r="X45" s="32"/>
      <c r="Y45" s="32"/>
      <c r="Z45" s="32"/>
    </row>
    <row r="46" spans="1:26" s="40" customFormat="1" ht="13.5" customHeight="1" x14ac:dyDescent="0.25">
      <c r="A46" s="32"/>
      <c r="B46" s="222"/>
      <c r="C46" s="202"/>
      <c r="D46" s="202"/>
      <c r="E46" s="202"/>
      <c r="F46" s="46" t="s">
        <v>79</v>
      </c>
      <c r="G46" s="47">
        <f t="shared" ref="G46" si="27">+E44*0.4</f>
        <v>0.2056</v>
      </c>
      <c r="H46" s="48"/>
      <c r="I46" s="49"/>
      <c r="J46" s="50">
        <v>0.78100000000000003</v>
      </c>
      <c r="K46" s="202"/>
      <c r="L46" s="202"/>
      <c r="M46" s="202"/>
      <c r="N46" s="202"/>
      <c r="O46" s="202"/>
      <c r="P46" s="207"/>
      <c r="Q46" s="32"/>
      <c r="R46" s="32"/>
      <c r="S46" s="98"/>
      <c r="T46" s="32"/>
      <c r="U46" s="32"/>
      <c r="V46" s="32"/>
      <c r="W46" s="32"/>
      <c r="X46" s="32"/>
      <c r="Y46" s="32"/>
      <c r="Z46" s="32"/>
    </row>
    <row r="47" spans="1:26" s="40" customFormat="1" ht="13.5" customHeight="1" x14ac:dyDescent="0.25">
      <c r="A47" s="32"/>
      <c r="B47" s="222"/>
      <c r="C47" s="202"/>
      <c r="D47" s="202"/>
      <c r="E47" s="202"/>
      <c r="F47" s="46" t="s">
        <v>80</v>
      </c>
      <c r="G47" s="47">
        <f t="shared" ref="G47" si="28">IF(E44&lt;0.125,"NA",IF(0.125&lt;=E44,(0.8*E44)))</f>
        <v>0.41120000000000001</v>
      </c>
      <c r="H47" s="48"/>
      <c r="I47" s="49"/>
      <c r="J47" s="50">
        <v>0.80800000000000005</v>
      </c>
      <c r="K47" s="202"/>
      <c r="L47" s="202"/>
      <c r="M47" s="202"/>
      <c r="N47" s="202"/>
      <c r="O47" s="202"/>
      <c r="P47" s="207"/>
      <c r="Q47" s="32"/>
      <c r="R47" s="98"/>
      <c r="S47" s="98"/>
      <c r="T47" s="32"/>
      <c r="U47" s="32"/>
      <c r="V47" s="32"/>
      <c r="W47" s="32"/>
      <c r="X47" s="32"/>
      <c r="Y47" s="32"/>
      <c r="Z47" s="32"/>
    </row>
    <row r="48" spans="1:26" s="40" customFormat="1" ht="13.5" customHeight="1" thickBot="1" x14ac:dyDescent="0.3">
      <c r="A48" s="32"/>
      <c r="B48" s="223"/>
      <c r="C48" s="203"/>
      <c r="D48" s="203"/>
      <c r="E48" s="203"/>
      <c r="F48" s="51" t="s">
        <v>81</v>
      </c>
      <c r="G48" s="52">
        <f t="shared" ref="G48" si="29">+E44</f>
        <v>0.51400000000000001</v>
      </c>
      <c r="H48" s="53"/>
      <c r="I48" s="54"/>
      <c r="J48" s="55">
        <v>0.81</v>
      </c>
      <c r="K48" s="203"/>
      <c r="L48" s="203"/>
      <c r="M48" s="203"/>
      <c r="N48" s="203"/>
      <c r="O48" s="203"/>
      <c r="P48" s="208"/>
      <c r="Q48" s="32"/>
      <c r="R48" s="32"/>
      <c r="S48" s="98"/>
      <c r="T48" s="32"/>
      <c r="U48" s="32"/>
      <c r="V48" s="32"/>
      <c r="W48" s="32"/>
      <c r="X48" s="32"/>
      <c r="Y48" s="32"/>
      <c r="Z48" s="32"/>
    </row>
    <row r="49" spans="1:26" s="40" customFormat="1" ht="13.5" customHeight="1" x14ac:dyDescent="0.25">
      <c r="A49" s="32"/>
      <c r="B49" s="221">
        <v>7</v>
      </c>
      <c r="C49" s="224">
        <f t="shared" ref="C49" si="30">+C44+$N$12</f>
        <v>9.5</v>
      </c>
      <c r="D49" s="201">
        <v>0.39</v>
      </c>
      <c r="E49" s="201">
        <v>0.41699999999999998</v>
      </c>
      <c r="F49" s="41" t="s">
        <v>77</v>
      </c>
      <c r="G49" s="42">
        <v>0</v>
      </c>
      <c r="H49" s="43"/>
      <c r="I49" s="44"/>
      <c r="J49" s="45">
        <v>0.434</v>
      </c>
      <c r="K49" s="201">
        <f>+IF(E49&lt;=0.12,(J51),(IF(E49&lt;0.16,((J50+2*J51+J52)/4),IF(E49&gt;=0.16,((J49+3*J50+2*J51+3*J52+J53)/10)))))</f>
        <v>0.7137</v>
      </c>
      <c r="L49" s="201">
        <f>ROUND(+(D44+D49)/2*(C49-C44),3)</f>
        <v>0.44700000000000001</v>
      </c>
      <c r="M49" s="201">
        <f t="shared" ref="M49" si="31">ROUND(+K49*L49,4)</f>
        <v>0.31900000000000001</v>
      </c>
      <c r="N49" s="204">
        <f t="shared" ref="N49" si="32">ROUND(+M49/$M$118*100,2)</f>
        <v>9.17</v>
      </c>
      <c r="O49" s="205"/>
      <c r="P49" s="206"/>
      <c r="Q49" s="32"/>
      <c r="R49" s="98"/>
      <c r="T49" s="32"/>
      <c r="U49" s="32"/>
      <c r="V49" s="32"/>
      <c r="W49" s="32"/>
      <c r="X49" s="32"/>
      <c r="Y49" s="32"/>
      <c r="Z49" s="32"/>
    </row>
    <row r="50" spans="1:26" s="40" customFormat="1" ht="13.5" customHeight="1" x14ac:dyDescent="0.25">
      <c r="A50" s="32"/>
      <c r="B50" s="222"/>
      <c r="C50" s="202"/>
      <c r="D50" s="202"/>
      <c r="E50" s="202"/>
      <c r="F50" s="46" t="s">
        <v>78</v>
      </c>
      <c r="G50" s="47">
        <f t="shared" ref="G50" si="33">IF(E49&lt;0.125,"NA",IF(0.125&lt;=E49,(0.2*E49)))</f>
        <v>8.3400000000000002E-2</v>
      </c>
      <c r="H50" s="48"/>
      <c r="I50" s="49"/>
      <c r="J50" s="50">
        <v>0.63900000000000001</v>
      </c>
      <c r="K50" s="202"/>
      <c r="L50" s="202"/>
      <c r="M50" s="202"/>
      <c r="N50" s="202"/>
      <c r="O50" s="202"/>
      <c r="P50" s="207"/>
      <c r="Q50" s="32"/>
      <c r="R50" s="32"/>
      <c r="S50" s="98"/>
      <c r="T50" s="32"/>
      <c r="U50" s="32"/>
      <c r="V50" s="32"/>
      <c r="W50" s="32"/>
      <c r="X50" s="32"/>
      <c r="Y50" s="32"/>
      <c r="Z50" s="32"/>
    </row>
    <row r="51" spans="1:26" s="40" customFormat="1" ht="13.5" customHeight="1" x14ac:dyDescent="0.25">
      <c r="A51" s="32"/>
      <c r="B51" s="222"/>
      <c r="C51" s="202"/>
      <c r="D51" s="202"/>
      <c r="E51" s="202"/>
      <c r="F51" s="46" t="s">
        <v>79</v>
      </c>
      <c r="G51" s="47">
        <f t="shared" ref="G51" si="34">+E49*0.4</f>
        <v>0.1668</v>
      </c>
      <c r="H51" s="48"/>
      <c r="I51" s="49"/>
      <c r="J51" s="50">
        <v>0.73399999999999999</v>
      </c>
      <c r="K51" s="202"/>
      <c r="L51" s="202"/>
      <c r="M51" s="202"/>
      <c r="N51" s="202"/>
      <c r="O51" s="202"/>
      <c r="P51" s="207"/>
      <c r="Q51" s="32"/>
      <c r="R51" s="32"/>
      <c r="S51" s="98"/>
      <c r="T51" s="32"/>
      <c r="U51" s="32"/>
      <c r="V51" s="32"/>
      <c r="W51" s="32"/>
      <c r="X51" s="32"/>
      <c r="Y51" s="32"/>
      <c r="Z51" s="32"/>
    </row>
    <row r="52" spans="1:26" s="40" customFormat="1" ht="13.5" customHeight="1" x14ac:dyDescent="0.25">
      <c r="A52" s="32"/>
      <c r="B52" s="222"/>
      <c r="C52" s="202"/>
      <c r="D52" s="202"/>
      <c r="E52" s="202"/>
      <c r="F52" s="46" t="s">
        <v>80</v>
      </c>
      <c r="G52" s="47">
        <f t="shared" ref="G52" si="35">IF(E49&lt;0.125,"NA",IF(0.125&lt;=E49,(0.8*E49)))</f>
        <v>0.33360000000000001</v>
      </c>
      <c r="H52" s="48"/>
      <c r="I52" s="49"/>
      <c r="J52" s="50">
        <v>0.82899999999999996</v>
      </c>
      <c r="K52" s="202"/>
      <c r="L52" s="202"/>
      <c r="M52" s="202"/>
      <c r="N52" s="202"/>
      <c r="O52" s="202"/>
      <c r="P52" s="207"/>
      <c r="Q52" s="32"/>
      <c r="R52" s="32"/>
      <c r="S52" s="98"/>
      <c r="T52" s="32"/>
      <c r="U52" s="32"/>
      <c r="V52" s="32"/>
      <c r="W52" s="32"/>
      <c r="X52" s="32"/>
      <c r="Y52" s="32"/>
      <c r="Z52" s="32"/>
    </row>
    <row r="53" spans="1:26" s="40" customFormat="1" ht="13.5" customHeight="1" thickBot="1" x14ac:dyDescent="0.3">
      <c r="A53" s="32"/>
      <c r="B53" s="223"/>
      <c r="C53" s="203"/>
      <c r="D53" s="203"/>
      <c r="E53" s="203"/>
      <c r="F53" s="51" t="s">
        <v>81</v>
      </c>
      <c r="G53" s="52">
        <f t="shared" ref="G53" si="36">+E49</f>
        <v>0.41699999999999998</v>
      </c>
      <c r="H53" s="53"/>
      <c r="I53" s="54"/>
      <c r="J53" s="55">
        <v>0.83099999999999996</v>
      </c>
      <c r="K53" s="203"/>
      <c r="L53" s="203"/>
      <c r="M53" s="203"/>
      <c r="N53" s="203"/>
      <c r="O53" s="203"/>
      <c r="P53" s="208"/>
      <c r="Q53" s="32"/>
      <c r="R53" s="32"/>
      <c r="S53" s="98"/>
      <c r="T53" s="32"/>
      <c r="U53" s="32"/>
      <c r="V53" s="32"/>
      <c r="W53" s="32"/>
      <c r="X53" s="32"/>
      <c r="Y53" s="32"/>
      <c r="Z53" s="32"/>
    </row>
    <row r="54" spans="1:26" s="40" customFormat="1" ht="13.5" customHeight="1" x14ac:dyDescent="0.25">
      <c r="A54" s="32"/>
      <c r="B54" s="221">
        <v>8</v>
      </c>
      <c r="C54" s="224">
        <f>+C49+$N$12</f>
        <v>10.5</v>
      </c>
      <c r="D54" s="201">
        <v>0.39</v>
      </c>
      <c r="E54" s="201">
        <v>0.32300000000000001</v>
      </c>
      <c r="F54" s="41" t="s">
        <v>77</v>
      </c>
      <c r="G54" s="42">
        <v>0</v>
      </c>
      <c r="H54" s="43"/>
      <c r="I54" s="44"/>
      <c r="J54" s="45">
        <v>0.314</v>
      </c>
      <c r="K54" s="201">
        <f>+IF(E54&lt;=0.12,(J56),(IF(E54&lt;0.16,((J55+2*J56+J57)/4),IF(E54&gt;=0.16,((J54+3*J55+2*J56+3*J57+J58)/10)))))</f>
        <v>0.6802999999999999</v>
      </c>
      <c r="L54" s="201">
        <f>ROUND(+(D49+D54)/2*(C54-C49),3)</f>
        <v>0.39</v>
      </c>
      <c r="M54" s="201">
        <f t="shared" ref="M54" si="37">ROUND(+K54*L54,4)</f>
        <v>0.26529999999999998</v>
      </c>
      <c r="N54" s="204">
        <f t="shared" ref="N54" si="38">ROUND(+M54/$M$118*100,2)</f>
        <v>7.63</v>
      </c>
      <c r="O54" s="205"/>
      <c r="P54" s="206"/>
      <c r="Q54" s="32"/>
      <c r="R54" s="32"/>
      <c r="T54" s="32"/>
      <c r="U54" s="32"/>
      <c r="V54" s="32"/>
      <c r="W54" s="32"/>
      <c r="X54" s="32"/>
      <c r="Y54" s="32"/>
      <c r="Z54" s="32"/>
    </row>
    <row r="55" spans="1:26" s="40" customFormat="1" ht="13.5" customHeight="1" x14ac:dyDescent="0.25">
      <c r="A55" s="32"/>
      <c r="B55" s="222"/>
      <c r="C55" s="202"/>
      <c r="D55" s="202"/>
      <c r="E55" s="202"/>
      <c r="F55" s="46" t="s">
        <v>78</v>
      </c>
      <c r="G55" s="47">
        <f t="shared" ref="G55" si="39">IF(E54&lt;0.125,"NA",IF(0.125&lt;=E54,(0.2*E54)))</f>
        <v>6.4600000000000005E-2</v>
      </c>
      <c r="H55" s="48"/>
      <c r="I55" s="49"/>
      <c r="J55" s="50">
        <v>0.59699999999999998</v>
      </c>
      <c r="K55" s="202"/>
      <c r="L55" s="202"/>
      <c r="M55" s="202"/>
      <c r="N55" s="202"/>
      <c r="O55" s="202"/>
      <c r="P55" s="207"/>
      <c r="Q55" s="32"/>
      <c r="R55" s="3"/>
      <c r="S55" s="98"/>
      <c r="T55" s="32"/>
      <c r="U55" s="32"/>
      <c r="V55" s="32"/>
      <c r="W55" s="32"/>
      <c r="X55" s="32"/>
      <c r="Y55" s="32"/>
      <c r="Z55" s="32"/>
    </row>
    <row r="56" spans="1:26" s="40" customFormat="1" ht="13.5" customHeight="1" x14ac:dyDescent="0.25">
      <c r="A56" s="32"/>
      <c r="B56" s="222"/>
      <c r="C56" s="202"/>
      <c r="D56" s="202"/>
      <c r="E56" s="202"/>
      <c r="F56" s="46" t="s">
        <v>79</v>
      </c>
      <c r="G56" s="47">
        <f t="shared" ref="G56" si="40">+E54*0.4</f>
        <v>0.12920000000000001</v>
      </c>
      <c r="H56" s="48"/>
      <c r="I56" s="49"/>
      <c r="J56" s="50">
        <v>0.68</v>
      </c>
      <c r="K56" s="202"/>
      <c r="L56" s="202"/>
      <c r="M56" s="202"/>
      <c r="N56" s="202"/>
      <c r="O56" s="202"/>
      <c r="P56" s="207"/>
      <c r="Q56" s="32"/>
      <c r="R56" s="3"/>
      <c r="S56" s="98"/>
      <c r="T56" s="32"/>
      <c r="U56" s="32"/>
      <c r="V56" s="32"/>
      <c r="W56" s="32"/>
      <c r="X56" s="32"/>
      <c r="Y56" s="32"/>
      <c r="Z56" s="32"/>
    </row>
    <row r="57" spans="1:26" s="40" customFormat="1" ht="13.5" customHeight="1" x14ac:dyDescent="0.25">
      <c r="A57" s="32"/>
      <c r="B57" s="222"/>
      <c r="C57" s="202"/>
      <c r="D57" s="202"/>
      <c r="E57" s="202"/>
      <c r="F57" s="46" t="s">
        <v>80</v>
      </c>
      <c r="G57" s="47">
        <f t="shared" ref="G57" si="41">IF(E54&lt;0.125,"NA",IF(0.125&lt;=E54,(0.8*E54)))</f>
        <v>0.25840000000000002</v>
      </c>
      <c r="H57" s="48"/>
      <c r="I57" s="49"/>
      <c r="J57" s="50">
        <v>0.82299999999999995</v>
      </c>
      <c r="K57" s="202"/>
      <c r="L57" s="202"/>
      <c r="M57" s="202"/>
      <c r="N57" s="202"/>
      <c r="O57" s="202"/>
      <c r="P57" s="207"/>
      <c r="Q57" s="32"/>
      <c r="R57" s="3"/>
      <c r="S57" s="98"/>
      <c r="T57" s="32"/>
      <c r="U57" s="32"/>
      <c r="V57" s="32"/>
      <c r="W57" s="32"/>
      <c r="X57" s="32"/>
      <c r="Y57" s="32"/>
      <c r="Z57" s="32"/>
    </row>
    <row r="58" spans="1:26" s="40" customFormat="1" ht="13.5" customHeight="1" thickBot="1" x14ac:dyDescent="0.3">
      <c r="A58" s="32"/>
      <c r="B58" s="223"/>
      <c r="C58" s="203"/>
      <c r="D58" s="203"/>
      <c r="E58" s="203"/>
      <c r="F58" s="51" t="s">
        <v>81</v>
      </c>
      <c r="G58" s="52">
        <f t="shared" ref="G58" si="42">+E54</f>
        <v>0.32300000000000001</v>
      </c>
      <c r="H58" s="53"/>
      <c r="I58" s="54"/>
      <c r="J58" s="55">
        <v>0.86899999999999999</v>
      </c>
      <c r="K58" s="203"/>
      <c r="L58" s="203"/>
      <c r="M58" s="203"/>
      <c r="N58" s="203"/>
      <c r="O58" s="203"/>
      <c r="P58" s="208"/>
      <c r="Q58" s="32"/>
      <c r="R58" s="3"/>
      <c r="S58" s="98"/>
      <c r="T58" s="32"/>
      <c r="U58" s="32"/>
      <c r="V58" s="32"/>
      <c r="W58" s="32"/>
      <c r="X58" s="32"/>
      <c r="Y58" s="32"/>
      <c r="Z58" s="32"/>
    </row>
    <row r="59" spans="1:26" s="40" customFormat="1" ht="13.5" customHeight="1" x14ac:dyDescent="0.25">
      <c r="A59" s="32"/>
      <c r="B59" s="221">
        <v>9</v>
      </c>
      <c r="C59" s="224">
        <f t="shared" ref="C59" si="43">+C54+$N$12</f>
        <v>11.5</v>
      </c>
      <c r="D59" s="201">
        <v>0.36</v>
      </c>
      <c r="E59" s="201">
        <v>0.36</v>
      </c>
      <c r="F59" s="41" t="s">
        <v>77</v>
      </c>
      <c r="G59" s="42">
        <v>0</v>
      </c>
      <c r="H59" s="43"/>
      <c r="I59" s="44"/>
      <c r="J59" s="45">
        <v>0.39700000000000002</v>
      </c>
      <c r="K59" s="201">
        <f t="shared" ref="K59" si="44">+IF(E59&lt;=0.12,(J61),(IF(E59&lt;0.16,((J60+2*J61+J62)/4),IF(E59&gt;=0.16,((J59+3*J60+2*J61+3*J62+J63)/10)))))</f>
        <v>0.64380000000000004</v>
      </c>
      <c r="L59" s="201">
        <f>ROUND(+(D54+D59)/2*(C59-C54),3)</f>
        <v>0.375</v>
      </c>
      <c r="M59" s="201">
        <f t="shared" ref="M59" si="45">ROUND(+K59*L59,4)</f>
        <v>0.2414</v>
      </c>
      <c r="N59" s="204">
        <f t="shared" ref="N59" si="46">ROUND(+M59/$M$118*100,2)</f>
        <v>6.94</v>
      </c>
      <c r="O59" s="205"/>
      <c r="P59" s="206"/>
      <c r="Q59" s="32"/>
      <c r="R59" s="3"/>
      <c r="T59" s="32"/>
      <c r="U59" s="32"/>
      <c r="V59" s="32"/>
      <c r="W59" s="32"/>
      <c r="X59" s="32"/>
      <c r="Y59" s="32"/>
      <c r="Z59" s="32"/>
    </row>
    <row r="60" spans="1:26" s="40" customFormat="1" ht="13.5" customHeight="1" x14ac:dyDescent="0.25">
      <c r="A60" s="32"/>
      <c r="B60" s="222"/>
      <c r="C60" s="202"/>
      <c r="D60" s="202"/>
      <c r="E60" s="202"/>
      <c r="F60" s="46" t="s">
        <v>78</v>
      </c>
      <c r="G60" s="47">
        <f t="shared" ref="G60" si="47">IF(E59&lt;0.125,"NA",IF(0.125&lt;=E59,(0.2*E59)))</f>
        <v>7.1999999999999995E-2</v>
      </c>
      <c r="H60" s="48"/>
      <c r="I60" s="49"/>
      <c r="J60" s="50">
        <v>0.504</v>
      </c>
      <c r="K60" s="202"/>
      <c r="L60" s="202"/>
      <c r="M60" s="202"/>
      <c r="N60" s="202"/>
      <c r="O60" s="202"/>
      <c r="P60" s="207"/>
      <c r="Q60" s="32"/>
      <c r="R60" s="3"/>
      <c r="S60" s="98"/>
      <c r="T60" s="32"/>
      <c r="U60" s="32"/>
      <c r="V60" s="32"/>
      <c r="W60" s="32"/>
      <c r="X60" s="32"/>
      <c r="Y60" s="32"/>
      <c r="Z60" s="32"/>
    </row>
    <row r="61" spans="1:26" s="40" customFormat="1" ht="13.5" customHeight="1" x14ac:dyDescent="0.25">
      <c r="A61" s="32"/>
      <c r="B61" s="222"/>
      <c r="C61" s="202"/>
      <c r="D61" s="202"/>
      <c r="E61" s="202"/>
      <c r="F61" s="46" t="s">
        <v>79</v>
      </c>
      <c r="G61" s="47">
        <f t="shared" ref="G61" si="48">+E59*0.4</f>
        <v>0.14399999999999999</v>
      </c>
      <c r="H61" s="48"/>
      <c r="I61" s="49"/>
      <c r="J61" s="50">
        <v>0.74399999999999999</v>
      </c>
      <c r="K61" s="202"/>
      <c r="L61" s="202"/>
      <c r="M61" s="202"/>
      <c r="N61" s="202"/>
      <c r="O61" s="202"/>
      <c r="P61" s="207"/>
      <c r="Q61" s="32"/>
      <c r="R61" s="3"/>
      <c r="S61" s="98"/>
      <c r="T61" s="32"/>
      <c r="U61" s="32"/>
      <c r="V61" s="32"/>
      <c r="W61" s="32"/>
      <c r="X61" s="32"/>
      <c r="Y61" s="32"/>
      <c r="Z61" s="32"/>
    </row>
    <row r="62" spans="1:26" s="40" customFormat="1" ht="13.5" customHeight="1" x14ac:dyDescent="0.25">
      <c r="A62" s="32"/>
      <c r="B62" s="222"/>
      <c r="C62" s="202"/>
      <c r="D62" s="202"/>
      <c r="E62" s="202"/>
      <c r="F62" s="46" t="s">
        <v>80</v>
      </c>
      <c r="G62" s="47">
        <f t="shared" ref="G62" si="49">IF(E59&lt;0.125,"NA",IF(0.125&lt;=E59,(0.8*E59)))</f>
        <v>0.28799999999999998</v>
      </c>
      <c r="H62" s="48"/>
      <c r="I62" s="49"/>
      <c r="J62" s="50">
        <v>0.754</v>
      </c>
      <c r="K62" s="202"/>
      <c r="L62" s="202"/>
      <c r="M62" s="202"/>
      <c r="N62" s="202"/>
      <c r="O62" s="202"/>
      <c r="P62" s="207"/>
      <c r="Q62" s="32"/>
      <c r="R62" s="3"/>
      <c r="S62" s="98"/>
      <c r="T62" s="32"/>
      <c r="U62" s="32"/>
      <c r="V62" s="32"/>
      <c r="W62" s="32"/>
      <c r="X62" s="32"/>
      <c r="Y62" s="32"/>
      <c r="Z62" s="32"/>
    </row>
    <row r="63" spans="1:26" s="40" customFormat="1" ht="13.5" customHeight="1" thickBot="1" x14ac:dyDescent="0.3">
      <c r="A63" s="32"/>
      <c r="B63" s="223"/>
      <c r="C63" s="203"/>
      <c r="D63" s="203"/>
      <c r="E63" s="203"/>
      <c r="F63" s="51" t="s">
        <v>81</v>
      </c>
      <c r="G63" s="52">
        <f t="shared" ref="G63" si="50">+E59</f>
        <v>0.36</v>
      </c>
      <c r="H63" s="53"/>
      <c r="I63" s="54"/>
      <c r="J63" s="55">
        <v>0.77900000000000003</v>
      </c>
      <c r="K63" s="203"/>
      <c r="L63" s="203"/>
      <c r="M63" s="203"/>
      <c r="N63" s="203"/>
      <c r="O63" s="203"/>
      <c r="P63" s="208"/>
      <c r="Q63" s="32"/>
      <c r="R63" s="64"/>
      <c r="S63" s="98"/>
      <c r="T63" s="32"/>
      <c r="U63" s="32"/>
      <c r="V63" s="32"/>
      <c r="W63" s="32"/>
      <c r="X63" s="32"/>
      <c r="Y63" s="32"/>
      <c r="Z63" s="32"/>
    </row>
    <row r="64" spans="1:26" s="40" customFormat="1" ht="13.5" customHeight="1" x14ac:dyDescent="0.25">
      <c r="A64" s="32"/>
      <c r="B64" s="221">
        <v>10</v>
      </c>
      <c r="C64" s="224">
        <f>+C59+$N$12</f>
        <v>12.5</v>
      </c>
      <c r="D64" s="201">
        <v>0.38300000000000001</v>
      </c>
      <c r="E64" s="201">
        <v>0.31</v>
      </c>
      <c r="F64" s="41" t="s">
        <v>77</v>
      </c>
      <c r="G64" s="42">
        <v>0</v>
      </c>
      <c r="H64" s="43"/>
      <c r="I64" s="44"/>
      <c r="J64" s="45">
        <v>0.61299999999999999</v>
      </c>
      <c r="K64" s="201">
        <f t="shared" ref="K64" si="51">+IF(E64&lt;=0.12,(J66),(IF(E64&lt;0.16,((J65+2*J66+J67)/4),IF(E64&gt;=0.16,((J64+3*J65+2*J66+3*J67+J68)/10)))))</f>
        <v>0.71960000000000002</v>
      </c>
      <c r="L64" s="201">
        <f>ROUND(+(D59+D64)/2*(C64-C59),3)</f>
        <v>0.372</v>
      </c>
      <c r="M64" s="201">
        <f t="shared" ref="M64" si="52">ROUND(+K64*L64,4)</f>
        <v>0.26769999999999999</v>
      </c>
      <c r="N64" s="204">
        <f t="shared" ref="N64" si="53">ROUND(+M64/$M$118*100,2)</f>
        <v>7.7</v>
      </c>
      <c r="O64" s="205"/>
      <c r="P64" s="206"/>
      <c r="Q64" s="32"/>
      <c r="R64" s="64"/>
      <c r="T64" s="32"/>
      <c r="U64" s="32"/>
      <c r="V64" s="32"/>
      <c r="W64" s="32"/>
      <c r="X64" s="32"/>
      <c r="Y64" s="32"/>
      <c r="Z64" s="32"/>
    </row>
    <row r="65" spans="1:26" s="40" customFormat="1" ht="13.5" customHeight="1" x14ac:dyDescent="0.25">
      <c r="A65" s="32"/>
      <c r="B65" s="222"/>
      <c r="C65" s="202"/>
      <c r="D65" s="202"/>
      <c r="E65" s="202"/>
      <c r="F65" s="46" t="s">
        <v>78</v>
      </c>
      <c r="G65" s="47">
        <f t="shared" ref="G65" si="54">IF(E64&lt;0.125,"NA",IF(0.125&lt;=E64,(0.2*E64)))</f>
        <v>6.2E-2</v>
      </c>
      <c r="H65" s="48"/>
      <c r="I65" s="49"/>
      <c r="J65" s="50">
        <v>0.621</v>
      </c>
      <c r="K65" s="202"/>
      <c r="L65" s="202"/>
      <c r="M65" s="202"/>
      <c r="N65" s="202"/>
      <c r="O65" s="202"/>
      <c r="P65" s="207"/>
      <c r="Q65" s="32"/>
      <c r="R65" s="64"/>
      <c r="S65" s="98"/>
      <c r="T65" s="32"/>
      <c r="U65" s="32"/>
      <c r="V65" s="32"/>
      <c r="W65" s="32"/>
      <c r="X65" s="32"/>
      <c r="Y65" s="32"/>
      <c r="Z65" s="32"/>
    </row>
    <row r="66" spans="1:26" s="40" customFormat="1" ht="13.5" customHeight="1" x14ac:dyDescent="0.25">
      <c r="A66" s="32"/>
      <c r="B66" s="222"/>
      <c r="C66" s="202"/>
      <c r="D66" s="202"/>
      <c r="E66" s="202"/>
      <c r="F66" s="46" t="s">
        <v>79</v>
      </c>
      <c r="G66" s="47">
        <f t="shared" ref="G66" si="55">+E64*0.4</f>
        <v>0.124</v>
      </c>
      <c r="H66" s="48"/>
      <c r="I66" s="49"/>
      <c r="J66" s="50">
        <v>0.71399999999999997</v>
      </c>
      <c r="K66" s="202"/>
      <c r="L66" s="202"/>
      <c r="M66" s="202"/>
      <c r="N66" s="202"/>
      <c r="O66" s="202"/>
      <c r="P66" s="207"/>
      <c r="Q66" s="32"/>
      <c r="R66" s="64"/>
      <c r="S66" s="98"/>
      <c r="T66" s="32"/>
      <c r="U66" s="32"/>
      <c r="V66" s="32"/>
      <c r="W66" s="32"/>
      <c r="X66" s="32"/>
      <c r="Y66" s="32"/>
      <c r="Z66" s="32"/>
    </row>
    <row r="67" spans="1:26" s="40" customFormat="1" ht="13.5" customHeight="1" x14ac:dyDescent="0.25">
      <c r="A67" s="32"/>
      <c r="B67" s="222"/>
      <c r="C67" s="202"/>
      <c r="D67" s="202"/>
      <c r="E67" s="202"/>
      <c r="F67" s="46" t="s">
        <v>80</v>
      </c>
      <c r="G67" s="47">
        <f t="shared" ref="G67" si="56">IF(E64&lt;0.125,"NA",IF(0.125&lt;=E64,(0.8*E64)))</f>
        <v>0.248</v>
      </c>
      <c r="H67" s="48"/>
      <c r="I67" s="49"/>
      <c r="J67" s="50">
        <v>0.81100000000000005</v>
      </c>
      <c r="K67" s="202"/>
      <c r="L67" s="202"/>
      <c r="M67" s="202"/>
      <c r="N67" s="202"/>
      <c r="O67" s="202"/>
      <c r="P67" s="207"/>
      <c r="Q67" s="32"/>
      <c r="R67" s="64"/>
      <c r="S67" s="98"/>
      <c r="T67" s="32"/>
      <c r="U67" s="32"/>
      <c r="V67" s="32"/>
      <c r="W67" s="32"/>
      <c r="X67" s="32"/>
      <c r="Y67" s="32"/>
      <c r="Z67" s="32"/>
    </row>
    <row r="68" spans="1:26" s="40" customFormat="1" ht="13.5" customHeight="1" thickBot="1" x14ac:dyDescent="0.3">
      <c r="A68" s="32"/>
      <c r="B68" s="223"/>
      <c r="C68" s="203"/>
      <c r="D68" s="203"/>
      <c r="E68" s="203"/>
      <c r="F68" s="51" t="s">
        <v>81</v>
      </c>
      <c r="G68" s="52">
        <f t="shared" ref="G68" si="57">+E64</f>
        <v>0.31</v>
      </c>
      <c r="H68" s="53"/>
      <c r="I68" s="54"/>
      <c r="J68" s="55">
        <v>0.85899999999999999</v>
      </c>
      <c r="K68" s="203"/>
      <c r="L68" s="203"/>
      <c r="M68" s="203"/>
      <c r="N68" s="203"/>
      <c r="O68" s="203"/>
      <c r="P68" s="208"/>
      <c r="Q68" s="32"/>
      <c r="R68" s="64"/>
      <c r="S68" s="98"/>
      <c r="T68" s="32"/>
      <c r="U68" s="32"/>
      <c r="V68" s="32"/>
      <c r="W68" s="32"/>
      <c r="X68" s="32"/>
      <c r="Y68" s="32"/>
      <c r="Z68" s="32"/>
    </row>
    <row r="69" spans="1:26" s="40" customFormat="1" ht="13.5" customHeight="1" x14ac:dyDescent="0.25">
      <c r="A69" s="32"/>
      <c r="B69" s="221">
        <v>11</v>
      </c>
      <c r="C69" s="224">
        <f t="shared" ref="C69" si="58">+C64+$N$12</f>
        <v>13.5</v>
      </c>
      <c r="D69" s="201">
        <v>0.33</v>
      </c>
      <c r="E69" s="201">
        <v>0.31</v>
      </c>
      <c r="F69" s="41" t="s">
        <v>77</v>
      </c>
      <c r="G69" s="42">
        <v>0</v>
      </c>
      <c r="H69" s="43"/>
      <c r="I69" s="44"/>
      <c r="J69" s="45">
        <v>0.47699999999999998</v>
      </c>
      <c r="K69" s="201">
        <f t="shared" ref="K69" si="59">+IF(E69&lt;=0.12,(J71),(IF(E69&lt;0.16,((J70+2*J71+J72)/4),IF(E69&gt;=0.16,((J69+3*J70+2*J71+3*J72+J73)/10)))))</f>
        <v>0.68220000000000003</v>
      </c>
      <c r="L69" s="201">
        <f>ROUND(+(D64+D69)/2*(C69-C64),3)</f>
        <v>0.35699999999999998</v>
      </c>
      <c r="M69" s="201">
        <f t="shared" ref="M69" si="60">ROUND(+K69*L69,4)</f>
        <v>0.24349999999999999</v>
      </c>
      <c r="N69" s="204">
        <f t="shared" ref="N69" si="61">ROUND(+M69/$M$118*100,2)</f>
        <v>7</v>
      </c>
      <c r="O69" s="205"/>
      <c r="P69" s="206"/>
      <c r="Q69" s="32"/>
      <c r="R69" s="64"/>
      <c r="T69" s="32"/>
      <c r="U69" s="32"/>
      <c r="V69" s="32"/>
      <c r="W69" s="32"/>
      <c r="X69" s="32"/>
      <c r="Y69" s="32"/>
      <c r="Z69" s="32"/>
    </row>
    <row r="70" spans="1:26" s="40" customFormat="1" ht="13.5" customHeight="1" x14ac:dyDescent="0.25">
      <c r="A70" s="32"/>
      <c r="B70" s="222"/>
      <c r="C70" s="202"/>
      <c r="D70" s="202"/>
      <c r="E70" s="202"/>
      <c r="F70" s="46" t="s">
        <v>78</v>
      </c>
      <c r="G70" s="47">
        <f t="shared" ref="G70" si="62">IF(E69&lt;0.125,"NA",IF(0.125&lt;=E69,(0.2*E69)))</f>
        <v>6.2E-2</v>
      </c>
      <c r="H70" s="48"/>
      <c r="I70" s="49"/>
      <c r="J70" s="50">
        <v>0.54200000000000004</v>
      </c>
      <c r="K70" s="202"/>
      <c r="L70" s="202"/>
      <c r="M70" s="202"/>
      <c r="N70" s="202"/>
      <c r="O70" s="202"/>
      <c r="P70" s="207"/>
      <c r="Q70" s="32"/>
      <c r="R70" s="64"/>
      <c r="S70" s="98"/>
      <c r="T70" s="32"/>
      <c r="U70" s="32"/>
      <c r="V70" s="32"/>
      <c r="W70" s="32"/>
      <c r="X70" s="32"/>
      <c r="Y70" s="32"/>
      <c r="Z70" s="32"/>
    </row>
    <row r="71" spans="1:26" s="40" customFormat="1" ht="13.5" customHeight="1" x14ac:dyDescent="0.25">
      <c r="A71" s="32"/>
      <c r="B71" s="222"/>
      <c r="C71" s="202"/>
      <c r="D71" s="202"/>
      <c r="E71" s="202"/>
      <c r="F71" s="46" t="s">
        <v>79</v>
      </c>
      <c r="G71" s="47">
        <f t="shared" ref="G71" si="63">+E69*0.4</f>
        <v>0.124</v>
      </c>
      <c r="H71" s="48"/>
      <c r="I71" s="49"/>
      <c r="J71" s="50">
        <v>0.69499999999999995</v>
      </c>
      <c r="K71" s="202"/>
      <c r="L71" s="202"/>
      <c r="M71" s="202"/>
      <c r="N71" s="202"/>
      <c r="O71" s="202"/>
      <c r="P71" s="207"/>
      <c r="Q71" s="32"/>
      <c r="R71" s="64"/>
      <c r="S71" s="98"/>
      <c r="T71" s="32"/>
      <c r="U71" s="32"/>
      <c r="V71" s="32"/>
      <c r="W71" s="32"/>
      <c r="X71" s="32"/>
      <c r="Y71" s="32"/>
      <c r="Z71" s="32"/>
    </row>
    <row r="72" spans="1:26" s="40" customFormat="1" ht="13.5" customHeight="1" x14ac:dyDescent="0.25">
      <c r="A72" s="32"/>
      <c r="B72" s="222"/>
      <c r="C72" s="202"/>
      <c r="D72" s="202"/>
      <c r="E72" s="202"/>
      <c r="F72" s="46" t="s">
        <v>80</v>
      </c>
      <c r="G72" s="47">
        <f t="shared" ref="G72" si="64">IF(E69&lt;0.125,"NA",IF(0.125&lt;=E69,(0.8*E69)))</f>
        <v>0.248</v>
      </c>
      <c r="H72" s="48"/>
      <c r="I72" s="49"/>
      <c r="J72" s="50">
        <v>0.81299999999999994</v>
      </c>
      <c r="K72" s="202"/>
      <c r="L72" s="202"/>
      <c r="M72" s="202"/>
      <c r="N72" s="202"/>
      <c r="O72" s="202"/>
      <c r="P72" s="207"/>
      <c r="Q72" s="32"/>
      <c r="R72" s="64"/>
      <c r="S72" s="98"/>
      <c r="T72" s="32"/>
      <c r="U72" s="32"/>
      <c r="V72" s="32"/>
      <c r="W72" s="32"/>
      <c r="X72" s="32"/>
      <c r="Y72" s="32"/>
      <c r="Z72" s="32"/>
    </row>
    <row r="73" spans="1:26" s="40" customFormat="1" ht="13.5" customHeight="1" thickBot="1" x14ac:dyDescent="0.3">
      <c r="A73" s="32"/>
      <c r="B73" s="223"/>
      <c r="C73" s="203"/>
      <c r="D73" s="203"/>
      <c r="E73" s="203"/>
      <c r="F73" s="51" t="s">
        <v>81</v>
      </c>
      <c r="G73" s="52">
        <f t="shared" ref="G73" si="65">+E69</f>
        <v>0.31</v>
      </c>
      <c r="H73" s="53"/>
      <c r="I73" s="54"/>
      <c r="J73" s="55">
        <v>0.89</v>
      </c>
      <c r="K73" s="203"/>
      <c r="L73" s="203"/>
      <c r="M73" s="203"/>
      <c r="N73" s="203"/>
      <c r="O73" s="203"/>
      <c r="P73" s="208"/>
      <c r="Q73" s="32"/>
      <c r="R73" s="64"/>
      <c r="S73" s="98"/>
      <c r="T73" s="32"/>
      <c r="U73" s="32"/>
      <c r="V73" s="32"/>
      <c r="W73" s="32"/>
      <c r="X73" s="32"/>
      <c r="Y73" s="32"/>
      <c r="Z73" s="32"/>
    </row>
    <row r="74" spans="1:26" s="40" customFormat="1" ht="13.5" customHeight="1" x14ac:dyDescent="0.25">
      <c r="A74" s="32"/>
      <c r="B74" s="221">
        <v>12</v>
      </c>
      <c r="C74" s="224">
        <f t="shared" ref="C74:C89" si="66">+C69+$N$12</f>
        <v>14.5</v>
      </c>
      <c r="D74" s="201">
        <v>0.36</v>
      </c>
      <c r="E74" s="201">
        <v>0.375</v>
      </c>
      <c r="F74" s="41" t="s">
        <v>77</v>
      </c>
      <c r="G74" s="42">
        <v>0</v>
      </c>
      <c r="H74" s="43"/>
      <c r="I74" s="44"/>
      <c r="J74" s="45">
        <v>0.40500000000000003</v>
      </c>
      <c r="K74" s="201">
        <f>+IF(E74&lt;=0.12,(J76),(IF(E74&lt;0.16,((J75+2*J76+J77)/4),IF(E74&gt;=0.16,((J74+3*J75+2*J76+3*J77+J78)/10)))))</f>
        <v>0.60849999999999993</v>
      </c>
      <c r="L74" s="201">
        <f>ROUND(+(D69+D74)/2*(C74-C69),3)</f>
        <v>0.34499999999999997</v>
      </c>
      <c r="M74" s="201">
        <f>ROUND(+K74*L74,4)</f>
        <v>0.2099</v>
      </c>
      <c r="N74" s="204">
        <f>ROUND(+M74/$M$118*100,2)</f>
        <v>6.04</v>
      </c>
      <c r="O74" s="205"/>
      <c r="P74" s="206"/>
      <c r="Q74" s="32"/>
      <c r="R74" s="3"/>
      <c r="T74" s="32"/>
      <c r="U74" s="32"/>
      <c r="V74" s="32"/>
      <c r="W74" s="32"/>
      <c r="X74" s="32"/>
      <c r="Y74" s="32"/>
      <c r="Z74" s="32"/>
    </row>
    <row r="75" spans="1:26" s="40" customFormat="1" ht="13.5" customHeight="1" x14ac:dyDescent="0.25">
      <c r="A75" s="32"/>
      <c r="B75" s="222"/>
      <c r="C75" s="202"/>
      <c r="D75" s="202"/>
      <c r="E75" s="202"/>
      <c r="F75" s="46" t="s">
        <v>78</v>
      </c>
      <c r="G75" s="47">
        <f t="shared" ref="G75" si="67">IF(E74&lt;0.125,"NA",IF(0.125&lt;=E74,(0.2*E74)))</f>
        <v>7.5000000000000011E-2</v>
      </c>
      <c r="H75" s="48"/>
      <c r="I75" s="49"/>
      <c r="J75" s="50">
        <v>0.49099999999999999</v>
      </c>
      <c r="K75" s="202"/>
      <c r="L75" s="202"/>
      <c r="M75" s="202"/>
      <c r="N75" s="202"/>
      <c r="O75" s="202"/>
      <c r="P75" s="207"/>
      <c r="Q75" s="32"/>
      <c r="R75" s="3"/>
      <c r="S75" s="98"/>
      <c r="T75" s="32"/>
      <c r="U75" s="32"/>
      <c r="V75" s="32"/>
      <c r="W75" s="32"/>
      <c r="X75" s="32"/>
      <c r="Y75" s="32"/>
      <c r="Z75" s="32"/>
    </row>
    <row r="76" spans="1:26" s="40" customFormat="1" ht="13.5" customHeight="1" x14ac:dyDescent="0.25">
      <c r="A76" s="32"/>
      <c r="B76" s="222"/>
      <c r="C76" s="202"/>
      <c r="D76" s="202"/>
      <c r="E76" s="202"/>
      <c r="F76" s="46" t="s">
        <v>79</v>
      </c>
      <c r="G76" s="47">
        <f t="shared" ref="G76" si="68">+E74*0.4</f>
        <v>0.15000000000000002</v>
      </c>
      <c r="H76" s="48"/>
      <c r="I76" s="49"/>
      <c r="J76" s="50">
        <v>0.61899999999999999</v>
      </c>
      <c r="K76" s="202"/>
      <c r="L76" s="202"/>
      <c r="M76" s="202"/>
      <c r="N76" s="202"/>
      <c r="O76" s="202"/>
      <c r="P76" s="207"/>
      <c r="Q76" s="32"/>
      <c r="R76"/>
      <c r="S76" s="98"/>
      <c r="T76" s="32"/>
      <c r="U76" s="32"/>
      <c r="V76" s="32"/>
      <c r="W76" s="32"/>
      <c r="X76" s="32"/>
      <c r="Y76" s="32"/>
      <c r="Z76" s="32"/>
    </row>
    <row r="77" spans="1:26" s="40" customFormat="1" ht="13.5" customHeight="1" x14ac:dyDescent="0.25">
      <c r="A77" s="32"/>
      <c r="B77" s="222"/>
      <c r="C77" s="202"/>
      <c r="D77" s="202"/>
      <c r="E77" s="202"/>
      <c r="F77" s="46" t="s">
        <v>80</v>
      </c>
      <c r="G77" s="47">
        <f t="shared" ref="G77" si="69">IF(E74&lt;0.125,"NA",IF(0.125&lt;=E74,(0.8*E74)))</f>
        <v>0.30000000000000004</v>
      </c>
      <c r="H77" s="48"/>
      <c r="I77" s="49"/>
      <c r="J77" s="50">
        <v>0.70899999999999996</v>
      </c>
      <c r="K77" s="202"/>
      <c r="L77" s="202"/>
      <c r="M77" s="202"/>
      <c r="N77" s="202"/>
      <c r="O77" s="202"/>
      <c r="P77" s="207"/>
      <c r="Q77" s="32"/>
      <c r="R77"/>
      <c r="S77" s="98"/>
      <c r="T77" s="32"/>
      <c r="U77" s="32"/>
      <c r="V77" s="32"/>
      <c r="W77" s="32"/>
      <c r="X77" s="32"/>
      <c r="Y77" s="32"/>
      <c r="Z77" s="32"/>
    </row>
    <row r="78" spans="1:26" s="40" customFormat="1" ht="13.5" customHeight="1" thickBot="1" x14ac:dyDescent="0.3">
      <c r="A78" s="32"/>
      <c r="B78" s="223"/>
      <c r="C78" s="203"/>
      <c r="D78" s="203"/>
      <c r="E78" s="203"/>
      <c r="F78" s="51" t="s">
        <v>81</v>
      </c>
      <c r="G78" s="52">
        <f t="shared" ref="G78" si="70">+E74</f>
        <v>0.375</v>
      </c>
      <c r="H78" s="53"/>
      <c r="I78" s="54"/>
      <c r="J78" s="55">
        <v>0.84199999999999997</v>
      </c>
      <c r="K78" s="203"/>
      <c r="L78" s="203"/>
      <c r="M78" s="203"/>
      <c r="N78" s="203"/>
      <c r="O78" s="203"/>
      <c r="P78" s="208"/>
      <c r="Q78" s="32"/>
      <c r="R78"/>
      <c r="S78" s="98"/>
      <c r="T78" s="32"/>
      <c r="U78" s="32"/>
      <c r="V78" s="32"/>
      <c r="W78" s="32"/>
      <c r="X78" s="32"/>
      <c r="Y78" s="32"/>
      <c r="Z78" s="32"/>
    </row>
    <row r="79" spans="1:26" s="40" customFormat="1" ht="13.5" customHeight="1" x14ac:dyDescent="0.25">
      <c r="A79" s="32"/>
      <c r="B79" s="221">
        <v>13</v>
      </c>
      <c r="C79" s="224">
        <f t="shared" si="66"/>
        <v>15.5</v>
      </c>
      <c r="D79" s="201">
        <v>0.46</v>
      </c>
      <c r="E79" s="201">
        <v>0.42</v>
      </c>
      <c r="F79" s="41" t="s">
        <v>77</v>
      </c>
      <c r="G79" s="42">
        <v>0</v>
      </c>
      <c r="H79" s="43"/>
      <c r="I79" s="44"/>
      <c r="J79" s="45">
        <v>0.36099999999999999</v>
      </c>
      <c r="K79" s="201">
        <f>+IF(E79&lt;=0.12,(J81),(IF(E79&lt;0.16,((J80+2*J81+J82)/4),IF(E79&gt;=0.16,((J79+3*J80+2*J81+3*J82+J83)/10)))))</f>
        <v>0.62770000000000015</v>
      </c>
      <c r="L79" s="201">
        <f>ROUND(+(D74+D79)/2*(C79-C74),3)</f>
        <v>0.41</v>
      </c>
      <c r="M79" s="201">
        <f>ROUND(+K79*L79,4)</f>
        <v>0.25740000000000002</v>
      </c>
      <c r="N79" s="204">
        <f>ROUND(+M79/$M$118*100,2)</f>
        <v>7.4</v>
      </c>
      <c r="O79" s="205"/>
      <c r="P79" s="206"/>
      <c r="Q79" s="32"/>
      <c r="R79"/>
      <c r="T79" s="32"/>
      <c r="U79" s="32"/>
      <c r="V79" s="32"/>
      <c r="W79" s="32"/>
      <c r="X79" s="32"/>
      <c r="Y79" s="32"/>
      <c r="Z79" s="32"/>
    </row>
    <row r="80" spans="1:26" s="40" customFormat="1" ht="13.5" customHeight="1" x14ac:dyDescent="0.25">
      <c r="A80" s="32"/>
      <c r="B80" s="222"/>
      <c r="C80" s="202"/>
      <c r="D80" s="202"/>
      <c r="E80" s="202"/>
      <c r="F80" s="46" t="s">
        <v>78</v>
      </c>
      <c r="G80" s="47">
        <f t="shared" ref="G80" si="71">IF(E79&lt;0.125,"NA",IF(0.125&lt;=E79,(0.2*E79)))</f>
        <v>8.4000000000000005E-2</v>
      </c>
      <c r="H80" s="48"/>
      <c r="I80" s="49"/>
      <c r="J80" s="50">
        <v>0.46100000000000002</v>
      </c>
      <c r="K80" s="202"/>
      <c r="L80" s="202"/>
      <c r="M80" s="202"/>
      <c r="N80" s="202"/>
      <c r="O80" s="202"/>
      <c r="P80" s="207"/>
      <c r="Q80" s="32"/>
      <c r="R80"/>
      <c r="S80" s="98"/>
      <c r="T80" s="32"/>
      <c r="U80" s="32"/>
      <c r="V80" s="32"/>
      <c r="W80" s="32"/>
      <c r="X80" s="32"/>
      <c r="Y80" s="32"/>
      <c r="Z80" s="32"/>
    </row>
    <row r="81" spans="1:26" s="40" customFormat="1" ht="13.5" customHeight="1" x14ac:dyDescent="0.25">
      <c r="A81" s="32"/>
      <c r="B81" s="222"/>
      <c r="C81" s="202"/>
      <c r="D81" s="202"/>
      <c r="E81" s="202"/>
      <c r="F81" s="46" t="s">
        <v>79</v>
      </c>
      <c r="G81" s="47">
        <f t="shared" ref="G81" si="72">+E79*0.4</f>
        <v>0.16800000000000001</v>
      </c>
      <c r="H81" s="48"/>
      <c r="I81" s="49"/>
      <c r="J81" s="50">
        <v>0.71099999999999997</v>
      </c>
      <c r="K81" s="202"/>
      <c r="L81" s="202"/>
      <c r="M81" s="202"/>
      <c r="N81" s="202"/>
      <c r="O81" s="202"/>
      <c r="P81" s="207"/>
      <c r="Q81" s="32"/>
      <c r="R81"/>
      <c r="S81" s="98"/>
      <c r="T81" s="32"/>
      <c r="U81" s="32"/>
      <c r="V81" s="32"/>
      <c r="W81" s="32"/>
      <c r="X81" s="32"/>
      <c r="Y81" s="32"/>
      <c r="Z81" s="32"/>
    </row>
    <row r="82" spans="1:26" s="40" customFormat="1" ht="13.5" customHeight="1" x14ac:dyDescent="0.25">
      <c r="A82" s="32"/>
      <c r="B82" s="222"/>
      <c r="C82" s="202"/>
      <c r="D82" s="202"/>
      <c r="E82" s="202"/>
      <c r="F82" s="46" t="s">
        <v>80</v>
      </c>
      <c r="G82" s="47">
        <f t="shared" ref="G82" si="73">IF(E79&lt;0.125,"NA",IF(0.125&lt;=E79,(0.8*E79)))</f>
        <v>0.33600000000000002</v>
      </c>
      <c r="H82" s="48"/>
      <c r="I82" s="49"/>
      <c r="J82" s="50">
        <v>0.76800000000000002</v>
      </c>
      <c r="K82" s="202"/>
      <c r="L82" s="202"/>
      <c r="M82" s="202"/>
      <c r="N82" s="202"/>
      <c r="O82" s="202"/>
      <c r="P82" s="207"/>
      <c r="Q82" s="32"/>
      <c r="R82"/>
      <c r="S82" s="98"/>
      <c r="T82" s="32"/>
      <c r="U82" s="32"/>
      <c r="V82" s="32"/>
      <c r="W82" s="32"/>
      <c r="X82" s="32"/>
      <c r="Y82" s="32"/>
      <c r="Z82" s="32"/>
    </row>
    <row r="83" spans="1:26" s="40" customFormat="1" ht="13.5" customHeight="1" thickBot="1" x14ac:dyDescent="0.3">
      <c r="A83" s="32"/>
      <c r="B83" s="223"/>
      <c r="C83" s="203"/>
      <c r="D83" s="203"/>
      <c r="E83" s="203"/>
      <c r="F83" s="51" t="s">
        <v>81</v>
      </c>
      <c r="G83" s="52">
        <f t="shared" ref="G83" si="74">+E79</f>
        <v>0.42</v>
      </c>
      <c r="H83" s="53"/>
      <c r="I83" s="54"/>
      <c r="J83" s="55">
        <v>0.80700000000000005</v>
      </c>
      <c r="K83" s="203"/>
      <c r="L83" s="203"/>
      <c r="M83" s="203"/>
      <c r="N83" s="203"/>
      <c r="O83" s="203"/>
      <c r="P83" s="208"/>
      <c r="Q83" s="32"/>
      <c r="R83"/>
      <c r="S83" s="98"/>
      <c r="T83" s="32"/>
      <c r="U83" s="32"/>
      <c r="V83" s="32"/>
      <c r="W83" s="32"/>
      <c r="X83" s="32"/>
      <c r="Y83" s="32"/>
      <c r="Z83" s="32"/>
    </row>
    <row r="84" spans="1:26" s="40" customFormat="1" ht="13.5" customHeight="1" x14ac:dyDescent="0.25">
      <c r="A84" s="32"/>
      <c r="B84" s="221">
        <v>14</v>
      </c>
      <c r="C84" s="224">
        <f t="shared" si="66"/>
        <v>16.5</v>
      </c>
      <c r="D84" s="201">
        <v>0.5</v>
      </c>
      <c r="E84" s="201">
        <v>0.48</v>
      </c>
      <c r="F84" s="41" t="s">
        <v>77</v>
      </c>
      <c r="G84" s="42">
        <v>0</v>
      </c>
      <c r="H84" s="43"/>
      <c r="I84" s="44"/>
      <c r="J84" s="45">
        <v>0.44700000000000001</v>
      </c>
      <c r="K84" s="201">
        <f>+IF(E84&lt;=0.12,(J86),(IF(E84&lt;0.16,((J85+2*J86+J87)/4),IF(E84&gt;=0.16,((J84+3*J85+2*J86+3*J87+J88)/10)))))</f>
        <v>0.67570000000000008</v>
      </c>
      <c r="L84" s="201">
        <f>ROUND(+(D79+D84)/2*(C84-C79),3)</f>
        <v>0.48</v>
      </c>
      <c r="M84" s="201">
        <f>ROUND(+K84*L84,4)</f>
        <v>0.32429999999999998</v>
      </c>
      <c r="N84" s="204">
        <f>ROUND(+M84/$M$118*100,2)</f>
        <v>9.33</v>
      </c>
      <c r="O84" s="205"/>
      <c r="P84" s="206"/>
      <c r="Q84" s="32"/>
      <c r="R84"/>
      <c r="T84" s="32"/>
      <c r="U84" s="32"/>
      <c r="V84" s="32"/>
      <c r="W84" s="32"/>
      <c r="X84" s="32"/>
      <c r="Y84" s="32"/>
      <c r="Z84" s="32"/>
    </row>
    <row r="85" spans="1:26" s="40" customFormat="1" ht="13.5" customHeight="1" x14ac:dyDescent="0.25">
      <c r="A85" s="32"/>
      <c r="B85" s="222"/>
      <c r="C85" s="202"/>
      <c r="D85" s="202"/>
      <c r="E85" s="202"/>
      <c r="F85" s="46" t="s">
        <v>78</v>
      </c>
      <c r="G85" s="47">
        <f t="shared" ref="G85" si="75">IF(E84&lt;0.125,"NA",IF(0.125&lt;=E84,(0.2*E84)))</f>
        <v>9.6000000000000002E-2</v>
      </c>
      <c r="H85" s="48"/>
      <c r="I85" s="49"/>
      <c r="J85" s="50">
        <v>0.55600000000000005</v>
      </c>
      <c r="K85" s="202"/>
      <c r="L85" s="202"/>
      <c r="M85" s="202"/>
      <c r="N85" s="202"/>
      <c r="O85" s="202"/>
      <c r="P85" s="207"/>
      <c r="Q85" s="32"/>
      <c r="R85"/>
      <c r="S85" s="98"/>
      <c r="T85" s="32"/>
      <c r="U85" s="32"/>
      <c r="V85" s="32"/>
      <c r="W85" s="32"/>
      <c r="X85" s="32"/>
      <c r="Y85" s="32"/>
      <c r="Z85" s="32"/>
    </row>
    <row r="86" spans="1:26" s="40" customFormat="1" ht="13.5" customHeight="1" x14ac:dyDescent="0.25">
      <c r="A86" s="32"/>
      <c r="B86" s="222"/>
      <c r="C86" s="202"/>
      <c r="D86" s="202"/>
      <c r="E86" s="202"/>
      <c r="F86" s="46" t="s">
        <v>79</v>
      </c>
      <c r="G86" s="47">
        <f t="shared" ref="G86" si="76">+E84*0.4</f>
        <v>0.192</v>
      </c>
      <c r="H86" s="48"/>
      <c r="I86" s="49"/>
      <c r="J86" s="50">
        <v>0.73599999999999999</v>
      </c>
      <c r="K86" s="202"/>
      <c r="L86" s="202"/>
      <c r="M86" s="202"/>
      <c r="N86" s="202"/>
      <c r="O86" s="202"/>
      <c r="P86" s="207"/>
      <c r="Q86" s="32"/>
      <c r="R86"/>
      <c r="S86" s="98"/>
      <c r="T86" s="32"/>
      <c r="U86" s="32"/>
      <c r="V86" s="32"/>
      <c r="W86" s="32"/>
      <c r="X86" s="32"/>
      <c r="Y86" s="32"/>
      <c r="Z86" s="32"/>
    </row>
    <row r="87" spans="1:26" s="40" customFormat="1" ht="13.5" customHeight="1" x14ac:dyDescent="0.25">
      <c r="A87" s="32"/>
      <c r="B87" s="222"/>
      <c r="C87" s="202"/>
      <c r="D87" s="202"/>
      <c r="E87" s="202"/>
      <c r="F87" s="46" t="s">
        <v>80</v>
      </c>
      <c r="G87" s="47">
        <f t="shared" ref="G87" si="77">IF(E84&lt;0.125,"NA",IF(0.125&lt;=E84,(0.8*E84)))</f>
        <v>0.38400000000000001</v>
      </c>
      <c r="H87" s="48"/>
      <c r="I87" s="49"/>
      <c r="J87" s="50">
        <v>0.77400000000000002</v>
      </c>
      <c r="K87" s="202"/>
      <c r="L87" s="202"/>
      <c r="M87" s="202"/>
      <c r="N87" s="202"/>
      <c r="O87" s="202"/>
      <c r="P87" s="207"/>
      <c r="Q87" s="32"/>
      <c r="R87"/>
      <c r="S87" s="98"/>
      <c r="T87" s="32"/>
      <c r="U87" s="32"/>
      <c r="V87" s="32"/>
      <c r="W87" s="32"/>
      <c r="X87" s="32"/>
      <c r="Y87" s="32"/>
      <c r="Z87" s="32"/>
    </row>
    <row r="88" spans="1:26" s="40" customFormat="1" ht="13.5" customHeight="1" thickBot="1" x14ac:dyDescent="0.3">
      <c r="A88" s="32"/>
      <c r="B88" s="223"/>
      <c r="C88" s="203"/>
      <c r="D88" s="203"/>
      <c r="E88" s="203"/>
      <c r="F88" s="51" t="s">
        <v>81</v>
      </c>
      <c r="G88" s="52">
        <f t="shared" ref="G88" si="78">+E84</f>
        <v>0.48</v>
      </c>
      <c r="H88" s="53"/>
      <c r="I88" s="54"/>
      <c r="J88" s="55">
        <v>0.84799999999999998</v>
      </c>
      <c r="K88" s="203"/>
      <c r="L88" s="203"/>
      <c r="M88" s="203"/>
      <c r="N88" s="203"/>
      <c r="O88" s="203"/>
      <c r="P88" s="208"/>
      <c r="Q88" s="32"/>
      <c r="R88" s="9"/>
      <c r="S88" s="98"/>
      <c r="T88" s="32"/>
      <c r="U88" s="32"/>
      <c r="V88" s="32"/>
      <c r="W88" s="32"/>
      <c r="X88" s="32"/>
      <c r="Y88" s="32"/>
      <c r="Z88" s="32"/>
    </row>
    <row r="89" spans="1:26" s="40" customFormat="1" ht="13.5" customHeight="1" x14ac:dyDescent="0.25">
      <c r="A89" s="32"/>
      <c r="B89" s="221">
        <v>15</v>
      </c>
      <c r="C89" s="224">
        <f t="shared" si="66"/>
        <v>17.5</v>
      </c>
      <c r="D89" s="201">
        <v>0.52</v>
      </c>
      <c r="E89" s="201">
        <v>0.51</v>
      </c>
      <c r="F89" s="41" t="s">
        <v>77</v>
      </c>
      <c r="G89" s="42">
        <v>0</v>
      </c>
      <c r="H89" s="43"/>
      <c r="I89" s="44"/>
      <c r="J89" s="45">
        <v>0.372</v>
      </c>
      <c r="K89" s="201">
        <f>+IF(E89&lt;=0.12,(J91),(IF(E89&lt;0.16,((J90+2*J91+J92)/4),IF(E89&gt;=0.16,((J89+3*J90+2*J91+3*J92+J93)/10)))))</f>
        <v>0.57509999999999994</v>
      </c>
      <c r="L89" s="201">
        <f>ROUND(+(D84+D89)/2*(C89-C84),3)</f>
        <v>0.51</v>
      </c>
      <c r="M89" s="201">
        <f>ROUND(+K89*L89,4)</f>
        <v>0.29330000000000001</v>
      </c>
      <c r="N89" s="204">
        <f>ROUND(+M89/$M$118*100,2)</f>
        <v>8.44</v>
      </c>
      <c r="O89" s="205"/>
      <c r="P89" s="206"/>
      <c r="Q89" s="32"/>
      <c r="R89" s="3"/>
      <c r="T89" s="32"/>
      <c r="U89" s="32"/>
      <c r="V89" s="32"/>
      <c r="W89" s="32"/>
      <c r="X89" s="32"/>
      <c r="Y89" s="32"/>
      <c r="Z89" s="32"/>
    </row>
    <row r="90" spans="1:26" s="40" customFormat="1" ht="13.5" customHeight="1" x14ac:dyDescent="0.25">
      <c r="A90" s="32"/>
      <c r="B90" s="222"/>
      <c r="C90" s="202"/>
      <c r="D90" s="202"/>
      <c r="E90" s="202"/>
      <c r="F90" s="46" t="s">
        <v>78</v>
      </c>
      <c r="G90" s="47">
        <f t="shared" ref="G90" si="79">IF(E89&lt;0.125,"NA",IF(0.125&lt;=E89,(0.2*E89)))</f>
        <v>0.10200000000000001</v>
      </c>
      <c r="H90" s="48"/>
      <c r="I90" s="49"/>
      <c r="J90" s="50">
        <v>0.51600000000000001</v>
      </c>
      <c r="K90" s="202"/>
      <c r="L90" s="202"/>
      <c r="M90" s="202"/>
      <c r="N90" s="202"/>
      <c r="O90" s="202"/>
      <c r="P90" s="207"/>
      <c r="Q90" s="32"/>
      <c r="R90"/>
      <c r="S90" s="98"/>
      <c r="T90" s="32"/>
      <c r="U90" s="32"/>
      <c r="V90" s="32"/>
      <c r="W90" s="32"/>
      <c r="X90" s="32"/>
      <c r="Y90" s="32"/>
      <c r="Z90" s="32"/>
    </row>
    <row r="91" spans="1:26" s="40" customFormat="1" ht="13.5" customHeight="1" x14ac:dyDescent="0.25">
      <c r="A91" s="32"/>
      <c r="B91" s="222"/>
      <c r="C91" s="202"/>
      <c r="D91" s="202"/>
      <c r="E91" s="202"/>
      <c r="F91" s="46" t="s">
        <v>79</v>
      </c>
      <c r="G91" s="47">
        <f t="shared" ref="G91" si="80">+E89*0.4</f>
        <v>0.20400000000000001</v>
      </c>
      <c r="H91" s="48"/>
      <c r="I91" s="49"/>
      <c r="J91" s="50">
        <v>0.59399999999999997</v>
      </c>
      <c r="K91" s="202"/>
      <c r="L91" s="202"/>
      <c r="M91" s="202"/>
      <c r="N91" s="202"/>
      <c r="O91" s="202"/>
      <c r="P91" s="207"/>
      <c r="Q91" s="32"/>
      <c r="R91"/>
      <c r="S91" s="98"/>
      <c r="T91" s="32"/>
      <c r="U91" s="32"/>
      <c r="V91" s="32"/>
      <c r="W91" s="32"/>
      <c r="X91" s="32"/>
      <c r="Y91" s="32"/>
      <c r="Z91" s="32"/>
    </row>
    <row r="92" spans="1:26" s="40" customFormat="1" ht="13.5" customHeight="1" x14ac:dyDescent="0.25">
      <c r="A92" s="32"/>
      <c r="B92" s="222"/>
      <c r="C92" s="202"/>
      <c r="D92" s="202"/>
      <c r="E92" s="202"/>
      <c r="F92" s="46" t="s">
        <v>80</v>
      </c>
      <c r="G92" s="47">
        <f t="shared" ref="G92" si="81">IF(E89&lt;0.125,"NA",IF(0.125&lt;=E89,(0.8*E89)))</f>
        <v>0.40800000000000003</v>
      </c>
      <c r="H92" s="48"/>
      <c r="I92" s="49"/>
      <c r="J92" s="50">
        <v>0.66</v>
      </c>
      <c r="K92" s="202"/>
      <c r="L92" s="202"/>
      <c r="M92" s="202"/>
      <c r="N92" s="202"/>
      <c r="O92" s="202"/>
      <c r="P92" s="207"/>
      <c r="Q92" s="32"/>
      <c r="R92"/>
      <c r="S92" s="98"/>
      <c r="T92" s="32"/>
      <c r="U92" s="32"/>
      <c r="V92" s="32"/>
      <c r="W92" s="32"/>
      <c r="X92" s="32"/>
      <c r="Y92" s="32"/>
      <c r="Z92" s="32"/>
    </row>
    <row r="93" spans="1:26" s="40" customFormat="1" ht="13.5" customHeight="1" thickBot="1" x14ac:dyDescent="0.3">
      <c r="A93" s="32"/>
      <c r="B93" s="223"/>
      <c r="C93" s="203"/>
      <c r="D93" s="203"/>
      <c r="E93" s="203"/>
      <c r="F93" s="51" t="s">
        <v>81</v>
      </c>
      <c r="G93" s="52">
        <f t="shared" ref="G93" si="82">+E89</f>
        <v>0.51</v>
      </c>
      <c r="H93" s="53"/>
      <c r="I93" s="54"/>
      <c r="J93" s="55">
        <v>0.66300000000000003</v>
      </c>
      <c r="K93" s="203"/>
      <c r="L93" s="203"/>
      <c r="M93" s="203"/>
      <c r="N93" s="203"/>
      <c r="O93" s="203"/>
      <c r="P93" s="208"/>
      <c r="Q93" s="32"/>
      <c r="R93"/>
      <c r="S93" s="98"/>
      <c r="T93" s="32"/>
      <c r="U93" s="32"/>
      <c r="V93" s="32"/>
      <c r="W93" s="32"/>
      <c r="X93" s="32"/>
      <c r="Y93" s="32"/>
      <c r="Z93" s="32"/>
    </row>
    <row r="94" spans="1:26" s="40" customFormat="1" ht="13.5" customHeight="1" x14ac:dyDescent="0.25">
      <c r="A94" s="32"/>
      <c r="B94" s="221">
        <v>16</v>
      </c>
      <c r="C94" s="224">
        <f>+C89+1.53</f>
        <v>19.03</v>
      </c>
      <c r="D94" s="201">
        <v>0</v>
      </c>
      <c r="E94" s="201">
        <v>0.56699999999999995</v>
      </c>
      <c r="F94" s="41" t="s">
        <v>77</v>
      </c>
      <c r="G94" s="42">
        <v>0</v>
      </c>
      <c r="H94" s="43"/>
      <c r="I94" s="44"/>
      <c r="J94" s="45">
        <v>0.10199999999999999</v>
      </c>
      <c r="K94" s="201">
        <f>+IF(E94&lt;=0.12,(J96),(IF(E94&lt;0.16,((J95+2*J96+J97)/4),IF(E94&gt;=0.16,((J94+3*J95+2*J96+3*J97+J98)/10)))))</f>
        <v>0.15570000000000001</v>
      </c>
      <c r="L94" s="201">
        <f>ROUND(+(D89+D94)/2*(C94-C89),3)</f>
        <v>0.39800000000000002</v>
      </c>
      <c r="M94" s="201">
        <f>ROUND(+K94*L94,4)</f>
        <v>6.2E-2</v>
      </c>
      <c r="N94" s="204">
        <f>ROUND(+M94/$M$118*100,2)</f>
        <v>1.78</v>
      </c>
      <c r="O94" s="205"/>
      <c r="P94" s="206"/>
      <c r="Q94" s="32"/>
      <c r="R94"/>
      <c r="T94" s="32"/>
      <c r="U94" s="32"/>
      <c r="V94" s="32"/>
      <c r="W94" s="32"/>
      <c r="X94" s="32"/>
      <c r="Y94" s="32"/>
      <c r="Z94" s="32"/>
    </row>
    <row r="95" spans="1:26" s="40" customFormat="1" ht="13.5" customHeight="1" x14ac:dyDescent="0.25">
      <c r="A95" s="32"/>
      <c r="B95" s="222"/>
      <c r="C95" s="202"/>
      <c r="D95" s="202"/>
      <c r="E95" s="202"/>
      <c r="F95" s="46" t="s">
        <v>78</v>
      </c>
      <c r="G95" s="47">
        <f t="shared" ref="G95" si="83">IF(E94&lt;0.125,"NA",IF(0.125&lt;=E94,(0.2*E94)))</f>
        <v>0.1134</v>
      </c>
      <c r="H95" s="48"/>
      <c r="I95" s="49"/>
      <c r="J95" s="50">
        <v>0.14000000000000001</v>
      </c>
      <c r="K95" s="202"/>
      <c r="L95" s="202"/>
      <c r="M95" s="202"/>
      <c r="N95" s="202"/>
      <c r="O95" s="202"/>
      <c r="P95" s="207"/>
      <c r="Q95" s="32"/>
      <c r="R95"/>
      <c r="S95" s="98"/>
      <c r="T95" s="32"/>
      <c r="U95" s="98"/>
      <c r="V95" s="32"/>
      <c r="W95" s="32"/>
      <c r="X95" s="32"/>
      <c r="Y95" s="32"/>
      <c r="Z95" s="32"/>
    </row>
    <row r="96" spans="1:26" s="40" customFormat="1" ht="13.5" customHeight="1" x14ac:dyDescent="0.25">
      <c r="A96" s="32"/>
      <c r="B96" s="222"/>
      <c r="C96" s="202"/>
      <c r="D96" s="202"/>
      <c r="E96" s="202"/>
      <c r="F96" s="46" t="s">
        <v>79</v>
      </c>
      <c r="G96" s="47">
        <f t="shared" ref="G96" si="84">+E94*0.4</f>
        <v>0.2268</v>
      </c>
      <c r="H96" s="48"/>
      <c r="I96" s="49"/>
      <c r="J96" s="50">
        <v>0.16200000000000001</v>
      </c>
      <c r="K96" s="202"/>
      <c r="L96" s="202"/>
      <c r="M96" s="202"/>
      <c r="N96" s="202"/>
      <c r="O96" s="202"/>
      <c r="P96" s="207"/>
      <c r="Q96" s="32"/>
      <c r="R96"/>
      <c r="S96" s="98"/>
      <c r="T96" s="32"/>
      <c r="U96" s="32"/>
      <c r="V96" s="32"/>
      <c r="W96" s="32"/>
      <c r="X96" s="32"/>
      <c r="Y96" s="32"/>
      <c r="Z96" s="32"/>
    </row>
    <row r="97" spans="1:26" s="40" customFormat="1" ht="13.5" customHeight="1" x14ac:dyDescent="0.25">
      <c r="A97" s="32"/>
      <c r="B97" s="222"/>
      <c r="C97" s="202"/>
      <c r="D97" s="202"/>
      <c r="E97" s="202"/>
      <c r="F97" s="46" t="s">
        <v>80</v>
      </c>
      <c r="G97" s="47">
        <f t="shared" ref="G97" si="85">IF(E94&lt;0.125,"NA",IF(0.125&lt;=E94,(0.8*E94)))</f>
        <v>0.4536</v>
      </c>
      <c r="H97" s="48"/>
      <c r="I97" s="49"/>
      <c r="J97" s="50">
        <v>0.17599999999999999</v>
      </c>
      <c r="K97" s="202"/>
      <c r="L97" s="202"/>
      <c r="M97" s="202"/>
      <c r="N97" s="202"/>
      <c r="O97" s="202"/>
      <c r="P97" s="207"/>
      <c r="Q97" s="32"/>
      <c r="R97"/>
      <c r="S97" s="98"/>
      <c r="T97" s="32"/>
      <c r="U97" s="32"/>
      <c r="V97" s="32"/>
      <c r="W97" s="32"/>
      <c r="X97" s="32"/>
      <c r="Y97" s="32"/>
      <c r="Z97" s="32"/>
    </row>
    <row r="98" spans="1:26" s="40" customFormat="1" ht="13.5" customHeight="1" thickBot="1" x14ac:dyDescent="0.3">
      <c r="A98" s="32"/>
      <c r="B98" s="223"/>
      <c r="C98" s="203"/>
      <c r="D98" s="203"/>
      <c r="E98" s="203"/>
      <c r="F98" s="51" t="s">
        <v>81</v>
      </c>
      <c r="G98" s="52">
        <f t="shared" ref="G98" si="86">+E94</f>
        <v>0.56699999999999995</v>
      </c>
      <c r="H98" s="53"/>
      <c r="I98" s="54"/>
      <c r="J98" s="55">
        <v>0.183</v>
      </c>
      <c r="K98" s="203"/>
      <c r="L98" s="203"/>
      <c r="M98" s="203"/>
      <c r="N98" s="203"/>
      <c r="O98" s="203"/>
      <c r="P98" s="208"/>
      <c r="Q98" s="32"/>
      <c r="R98"/>
      <c r="S98" s="98"/>
      <c r="T98" s="32"/>
      <c r="U98" s="32"/>
      <c r="V98" s="32"/>
      <c r="W98" s="32"/>
      <c r="X98" s="32"/>
      <c r="Y98" s="32"/>
      <c r="Z98" s="32"/>
    </row>
    <row r="99" spans="1:26" s="3" customFormat="1" ht="14.1" customHeight="1" x14ac:dyDescent="0.25">
      <c r="B99" s="209" t="s">
        <v>28</v>
      </c>
      <c r="C99" s="212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4"/>
      <c r="R99"/>
    </row>
    <row r="100" spans="1:26" s="3" customFormat="1" ht="14.1" customHeight="1" x14ac:dyDescent="0.25">
      <c r="B100" s="210"/>
      <c r="C100" s="215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7"/>
      <c r="R100"/>
    </row>
    <row r="101" spans="1:26" s="3" customFormat="1" ht="14.1" customHeight="1" x14ac:dyDescent="0.25">
      <c r="B101" s="210"/>
      <c r="C101" s="215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7"/>
      <c r="R101"/>
    </row>
    <row r="102" spans="1:26" s="3" customFormat="1" ht="14.1" customHeight="1" x14ac:dyDescent="0.25">
      <c r="B102" s="210"/>
      <c r="C102" s="215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7"/>
      <c r="R102"/>
    </row>
    <row r="103" spans="1:26" s="3" customFormat="1" ht="14.1" customHeight="1" x14ac:dyDescent="0.25">
      <c r="B103" s="210"/>
      <c r="C103" s="215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7"/>
      <c r="R103"/>
    </row>
    <row r="104" spans="1:26" s="3" customFormat="1" ht="14.1" customHeight="1" thickBot="1" x14ac:dyDescent="0.3">
      <c r="B104" s="211"/>
      <c r="C104" s="218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20"/>
      <c r="R104"/>
    </row>
    <row r="105" spans="1:26" s="3" customFormat="1" ht="28.5" customHeight="1" thickBot="1" x14ac:dyDescent="0.3">
      <c r="A105" s="56"/>
      <c r="B105" s="57" t="s">
        <v>82</v>
      </c>
      <c r="C105" s="188" t="s">
        <v>83</v>
      </c>
      <c r="D105" s="188"/>
      <c r="E105" s="188"/>
      <c r="F105" s="188"/>
      <c r="G105" s="188"/>
      <c r="H105" s="189"/>
      <c r="I105" s="190"/>
      <c r="J105" s="57" t="s">
        <v>84</v>
      </c>
      <c r="K105" s="188" t="s">
        <v>85</v>
      </c>
      <c r="L105" s="188"/>
      <c r="M105" s="188"/>
      <c r="N105" s="188"/>
      <c r="O105" s="188"/>
      <c r="P105" s="189"/>
      <c r="R105"/>
    </row>
    <row r="106" spans="1:26" s="3" customFormat="1" ht="28.5" customHeight="1" thickBot="1" x14ac:dyDescent="0.3">
      <c r="B106" s="58" t="s">
        <v>86</v>
      </c>
      <c r="C106" s="192" t="s">
        <v>87</v>
      </c>
      <c r="D106" s="192"/>
      <c r="E106" s="192"/>
      <c r="F106" s="192"/>
      <c r="G106" s="192"/>
      <c r="H106" s="193"/>
      <c r="I106" s="191"/>
      <c r="J106" s="58" t="s">
        <v>88</v>
      </c>
      <c r="K106" s="192" t="s">
        <v>89</v>
      </c>
      <c r="L106" s="192"/>
      <c r="M106" s="192"/>
      <c r="N106" s="192"/>
      <c r="O106" s="192"/>
      <c r="P106" s="193"/>
      <c r="R106"/>
    </row>
    <row r="107" spans="1:26" s="19" customFormat="1" ht="13.5" customHeight="1" x14ac:dyDescent="0.25">
      <c r="A107" s="59"/>
      <c r="B107" s="194">
        <f>+B39</f>
        <v>5</v>
      </c>
      <c r="C107" s="197">
        <f>+C34</f>
        <v>6.5</v>
      </c>
      <c r="D107" s="199">
        <f>+D34</f>
        <v>0.56899999999999995</v>
      </c>
      <c r="E107" s="199">
        <f>+E39</f>
        <v>0.62</v>
      </c>
      <c r="F107" s="60" t="s">
        <v>77</v>
      </c>
      <c r="G107" s="60">
        <v>0.01</v>
      </c>
      <c r="H107" s="61"/>
      <c r="I107" s="62"/>
      <c r="J107" s="63">
        <v>0.308</v>
      </c>
      <c r="K107" s="200">
        <f>+AVERAGE(J107:J117)</f>
        <v>0.48454545454545445</v>
      </c>
      <c r="L107" s="179">
        <f>ROUND(+(D107+D112)/2*(C112-C107),3)</f>
        <v>0.59799999999999998</v>
      </c>
      <c r="M107" s="182">
        <f>ROUND(+K107*L107,4)</f>
        <v>0.2898</v>
      </c>
      <c r="N107" s="179">
        <f>ROUND(+M107/$M$118*100,2)</f>
        <v>8.33</v>
      </c>
      <c r="O107" s="179"/>
      <c r="P107" s="183"/>
      <c r="Q107" s="64"/>
      <c r="R107"/>
      <c r="S107" s="64"/>
      <c r="T107" s="64"/>
      <c r="U107" s="64"/>
      <c r="V107" s="64"/>
      <c r="W107" s="64"/>
      <c r="X107" s="64"/>
      <c r="Y107" s="64"/>
      <c r="Z107" s="64"/>
    </row>
    <row r="108" spans="1:26" s="19" customFormat="1" ht="13.5" customHeight="1" x14ac:dyDescent="0.25">
      <c r="A108" s="59"/>
      <c r="B108" s="195"/>
      <c r="C108" s="180"/>
      <c r="D108" s="180"/>
      <c r="E108" s="180"/>
      <c r="F108" s="65" t="s">
        <v>90</v>
      </c>
      <c r="G108" s="66">
        <f>+E107*0.1</f>
        <v>6.2E-2</v>
      </c>
      <c r="H108" s="67"/>
      <c r="I108" s="68"/>
      <c r="J108" s="69">
        <v>0.34799999999999998</v>
      </c>
      <c r="K108" s="180"/>
      <c r="L108" s="180"/>
      <c r="M108" s="180"/>
      <c r="N108" s="180"/>
      <c r="O108" s="180"/>
      <c r="P108" s="184"/>
      <c r="Q108" s="64"/>
      <c r="R108"/>
      <c r="S108" s="64"/>
      <c r="T108" s="64"/>
      <c r="U108" s="64"/>
      <c r="V108" s="64"/>
      <c r="W108" s="64"/>
      <c r="X108" s="64"/>
      <c r="Y108" s="64"/>
      <c r="Z108" s="64"/>
    </row>
    <row r="109" spans="1:26" s="19" customFormat="1" ht="13.5" customHeight="1" x14ac:dyDescent="0.25">
      <c r="A109" s="59"/>
      <c r="B109" s="195"/>
      <c r="C109" s="180"/>
      <c r="D109" s="180"/>
      <c r="E109" s="180"/>
      <c r="F109" s="65" t="s">
        <v>91</v>
      </c>
      <c r="G109" s="66">
        <f>+E107*0.2</f>
        <v>0.124</v>
      </c>
      <c r="H109" s="67"/>
      <c r="I109" s="68"/>
      <c r="J109" s="69">
        <v>0.35899999999999999</v>
      </c>
      <c r="K109" s="180"/>
      <c r="L109" s="180"/>
      <c r="M109" s="180"/>
      <c r="N109" s="180"/>
      <c r="O109" s="180"/>
      <c r="P109" s="184"/>
      <c r="Q109" s="64"/>
      <c r="R109"/>
      <c r="S109" s="64"/>
      <c r="T109" s="64"/>
      <c r="U109" s="64"/>
      <c r="V109" s="64"/>
      <c r="W109" s="64"/>
      <c r="X109" s="64"/>
      <c r="Y109" s="64"/>
      <c r="Z109" s="64"/>
    </row>
    <row r="110" spans="1:26" s="19" customFormat="1" ht="13.5" customHeight="1" x14ac:dyDescent="0.25">
      <c r="A110" s="59"/>
      <c r="B110" s="195"/>
      <c r="C110" s="180"/>
      <c r="D110" s="180"/>
      <c r="E110" s="180"/>
      <c r="F110" s="65" t="s">
        <v>92</v>
      </c>
      <c r="G110" s="66">
        <f>+E107*0.3</f>
        <v>0.186</v>
      </c>
      <c r="H110" s="67"/>
      <c r="I110" s="68"/>
      <c r="J110" s="69">
        <v>0.433</v>
      </c>
      <c r="K110" s="180"/>
      <c r="L110" s="180"/>
      <c r="M110" s="180"/>
      <c r="N110" s="180"/>
      <c r="O110" s="180"/>
      <c r="P110" s="184"/>
      <c r="Q110" s="64"/>
      <c r="R110"/>
      <c r="S110" s="64"/>
      <c r="T110" s="64"/>
      <c r="U110" s="64"/>
      <c r="V110" s="64"/>
      <c r="W110" s="64"/>
      <c r="X110" s="64"/>
      <c r="Y110" s="64"/>
      <c r="Z110" s="64"/>
    </row>
    <row r="111" spans="1:26" s="19" customFormat="1" ht="13.5" customHeight="1" x14ac:dyDescent="0.25">
      <c r="A111" s="59"/>
      <c r="B111" s="195"/>
      <c r="C111" s="198"/>
      <c r="D111" s="198"/>
      <c r="E111" s="180"/>
      <c r="F111" s="65" t="s">
        <v>93</v>
      </c>
      <c r="G111" s="66">
        <f>+E107*0.4</f>
        <v>0.248</v>
      </c>
      <c r="H111" s="67"/>
      <c r="I111" s="68"/>
      <c r="J111" s="69">
        <v>0.47299999999999998</v>
      </c>
      <c r="K111" s="180"/>
      <c r="L111" s="180"/>
      <c r="M111" s="180"/>
      <c r="N111" s="180"/>
      <c r="O111" s="180"/>
      <c r="P111" s="184"/>
      <c r="Q111" s="64"/>
      <c r="R111"/>
      <c r="S111" s="64"/>
      <c r="T111" s="64"/>
      <c r="U111" s="64"/>
      <c r="V111" s="64"/>
      <c r="W111" s="64"/>
      <c r="X111" s="64"/>
      <c r="Y111" s="64"/>
      <c r="Z111" s="64"/>
    </row>
    <row r="112" spans="1:26" s="19" customFormat="1" ht="13.5" customHeight="1" x14ac:dyDescent="0.25">
      <c r="A112" s="59"/>
      <c r="B112" s="195"/>
      <c r="C112" s="186">
        <f>+C39</f>
        <v>7.5</v>
      </c>
      <c r="D112" s="187">
        <f>+D39</f>
        <v>0.626</v>
      </c>
      <c r="E112" s="180"/>
      <c r="F112" s="65" t="s">
        <v>29</v>
      </c>
      <c r="G112" s="66">
        <f>+E107*0.5</f>
        <v>0.31</v>
      </c>
      <c r="H112" s="67"/>
      <c r="I112" s="68"/>
      <c r="J112" s="69">
        <v>0.504</v>
      </c>
      <c r="K112" s="180"/>
      <c r="L112" s="180"/>
      <c r="M112" s="180"/>
      <c r="N112" s="180"/>
      <c r="O112" s="180"/>
      <c r="P112" s="184"/>
      <c r="Q112" s="64"/>
      <c r="R112"/>
      <c r="S112" s="64"/>
      <c r="T112" s="64"/>
      <c r="U112" s="64"/>
      <c r="V112" s="64"/>
      <c r="W112" s="64"/>
      <c r="X112" s="64"/>
      <c r="Y112" s="64"/>
      <c r="Z112" s="64"/>
    </row>
    <row r="113" spans="1:26" s="19" customFormat="1" ht="13.5" customHeight="1" x14ac:dyDescent="0.25">
      <c r="A113" s="59"/>
      <c r="B113" s="195"/>
      <c r="C113" s="180"/>
      <c r="D113" s="180"/>
      <c r="E113" s="180"/>
      <c r="F113" s="65" t="s">
        <v>94</v>
      </c>
      <c r="G113" s="66">
        <f>+E107*0.6</f>
        <v>0.372</v>
      </c>
      <c r="H113" s="67"/>
      <c r="I113" s="68"/>
      <c r="J113" s="69">
        <v>0.51800000000000002</v>
      </c>
      <c r="K113" s="180"/>
      <c r="L113" s="180"/>
      <c r="M113" s="180"/>
      <c r="N113" s="180"/>
      <c r="O113" s="180"/>
      <c r="P113" s="184"/>
      <c r="Q113" s="64"/>
      <c r="R113"/>
      <c r="S113" s="64"/>
      <c r="T113" s="64"/>
      <c r="U113" s="64"/>
      <c r="V113" s="64"/>
      <c r="W113" s="64"/>
      <c r="X113" s="64"/>
      <c r="Y113" s="64"/>
      <c r="Z113" s="64"/>
    </row>
    <row r="114" spans="1:26" s="19" customFormat="1" ht="13.5" customHeight="1" x14ac:dyDescent="0.25">
      <c r="A114" s="59"/>
      <c r="B114" s="195"/>
      <c r="C114" s="180"/>
      <c r="D114" s="180"/>
      <c r="E114" s="180"/>
      <c r="F114" s="65" t="s">
        <v>95</v>
      </c>
      <c r="G114" s="66">
        <f>+E107*0.7</f>
        <v>0.434</v>
      </c>
      <c r="H114" s="67"/>
      <c r="I114" s="68"/>
      <c r="J114" s="69">
        <v>0.52600000000000002</v>
      </c>
      <c r="K114" s="180"/>
      <c r="L114" s="180"/>
      <c r="M114" s="180"/>
      <c r="N114" s="180"/>
      <c r="O114" s="180"/>
      <c r="P114" s="184"/>
      <c r="Q114" s="64"/>
      <c r="R114"/>
      <c r="S114" s="64"/>
      <c r="T114" s="64"/>
      <c r="U114" s="64"/>
      <c r="V114" s="64"/>
      <c r="W114" s="64"/>
      <c r="X114" s="64"/>
      <c r="Y114" s="64"/>
      <c r="Z114" s="64"/>
    </row>
    <row r="115" spans="1:26" s="19" customFormat="1" ht="13.5" customHeight="1" x14ac:dyDescent="0.25">
      <c r="A115" s="59"/>
      <c r="B115" s="195"/>
      <c r="C115" s="180"/>
      <c r="D115" s="180"/>
      <c r="E115" s="180"/>
      <c r="F115" s="65" t="s">
        <v>96</v>
      </c>
      <c r="G115" s="66">
        <f>+E107*0.8</f>
        <v>0.496</v>
      </c>
      <c r="H115" s="67"/>
      <c r="I115" s="68"/>
      <c r="J115" s="69">
        <v>0.54500000000000004</v>
      </c>
      <c r="K115" s="180"/>
      <c r="L115" s="180"/>
      <c r="M115" s="180"/>
      <c r="N115" s="180"/>
      <c r="O115" s="180"/>
      <c r="P115" s="184"/>
      <c r="Q115" s="64"/>
      <c r="R115"/>
      <c r="S115" s="64"/>
      <c r="T115" s="64"/>
      <c r="U115" s="64"/>
      <c r="V115" s="64"/>
      <c r="W115" s="64"/>
      <c r="X115" s="64"/>
      <c r="Y115" s="64"/>
      <c r="Z115" s="64"/>
    </row>
    <row r="116" spans="1:26" s="19" customFormat="1" ht="13.5" customHeight="1" x14ac:dyDescent="0.25">
      <c r="A116" s="59"/>
      <c r="B116" s="195"/>
      <c r="C116" s="180"/>
      <c r="D116" s="180"/>
      <c r="E116" s="180"/>
      <c r="F116" s="65" t="s">
        <v>97</v>
      </c>
      <c r="G116" s="66">
        <f>+E107*0.9</f>
        <v>0.55800000000000005</v>
      </c>
      <c r="H116" s="67"/>
      <c r="I116" s="68"/>
      <c r="J116" s="69">
        <v>0.65700000000000003</v>
      </c>
      <c r="K116" s="180"/>
      <c r="L116" s="180"/>
      <c r="M116" s="180"/>
      <c r="N116" s="180"/>
      <c r="O116" s="180"/>
      <c r="P116" s="184"/>
      <c r="Q116" s="64"/>
      <c r="R116"/>
      <c r="S116" s="64"/>
      <c r="T116" s="64"/>
      <c r="U116" s="64"/>
      <c r="V116" s="64"/>
      <c r="W116" s="64"/>
      <c r="X116" s="64"/>
      <c r="Y116" s="64"/>
      <c r="Z116" s="64"/>
    </row>
    <row r="117" spans="1:26" s="19" customFormat="1" ht="15.75" thickBot="1" x14ac:dyDescent="0.3">
      <c r="A117" s="59"/>
      <c r="B117" s="196"/>
      <c r="C117" s="181"/>
      <c r="D117" s="181"/>
      <c r="E117" s="181"/>
      <c r="F117" s="70" t="s">
        <v>30</v>
      </c>
      <c r="G117" s="70">
        <f>+E107</f>
        <v>0.62</v>
      </c>
      <c r="H117" s="71"/>
      <c r="I117" s="72"/>
      <c r="J117" s="73">
        <v>0.65900000000000003</v>
      </c>
      <c r="K117" s="181"/>
      <c r="L117" s="181"/>
      <c r="M117" s="181"/>
      <c r="N117" s="181"/>
      <c r="O117" s="181"/>
      <c r="P117" s="185"/>
      <c r="Q117" s="64"/>
      <c r="R117"/>
      <c r="S117" s="64"/>
      <c r="T117" s="64"/>
      <c r="U117" s="64"/>
      <c r="V117" s="64"/>
      <c r="W117" s="64"/>
      <c r="X117" s="64"/>
      <c r="Y117" s="64"/>
      <c r="Z117" s="64"/>
    </row>
    <row r="118" spans="1:26" s="3" customFormat="1" x14ac:dyDescent="0.25">
      <c r="A118" s="11"/>
      <c r="B118" s="167" t="s">
        <v>31</v>
      </c>
      <c r="C118" s="167"/>
      <c r="D118" s="167"/>
      <c r="E118" s="167"/>
      <c r="F118" s="167"/>
      <c r="G118" s="167"/>
      <c r="H118" s="167"/>
      <c r="I118" s="167"/>
      <c r="J118" s="167"/>
      <c r="K118" s="16">
        <f>ROUND(+M118/L118,3)</f>
        <v>0.505</v>
      </c>
      <c r="L118" s="15">
        <f>SUM(L18:L117)</f>
        <v>6.8909999999999991</v>
      </c>
      <c r="M118" s="14">
        <f>SUM(M19:M117)</f>
        <v>3.4770000000000003</v>
      </c>
      <c r="N118" s="12">
        <f>ROUND(SUM(N19:N117),0)</f>
        <v>100</v>
      </c>
      <c r="O118" s="169" t="s">
        <v>32</v>
      </c>
      <c r="P118" s="171"/>
      <c r="R118"/>
    </row>
    <row r="119" spans="1:26" s="3" customFormat="1" ht="15" customHeight="1" thickBot="1" x14ac:dyDescent="0.3">
      <c r="A119" s="11"/>
      <c r="B119" s="168"/>
      <c r="C119" s="168"/>
      <c r="D119" s="168"/>
      <c r="E119" s="168"/>
      <c r="F119" s="168"/>
      <c r="G119" s="168"/>
      <c r="H119" s="168"/>
      <c r="I119" s="168"/>
      <c r="J119" s="168"/>
      <c r="K119" s="13" t="s">
        <v>33</v>
      </c>
      <c r="L119" s="13" t="s">
        <v>49</v>
      </c>
      <c r="M119" s="13" t="s">
        <v>103</v>
      </c>
      <c r="N119" s="13" t="s">
        <v>34</v>
      </c>
      <c r="O119" s="170"/>
      <c r="P119" s="172"/>
      <c r="R119"/>
    </row>
    <row r="120" spans="1:26" ht="15" customHeight="1" thickBot="1" x14ac:dyDescent="0.3">
      <c r="A120" s="5"/>
      <c r="B120" s="173" t="s">
        <v>98</v>
      </c>
      <c r="C120" s="174"/>
      <c r="D120" s="174"/>
      <c r="E120" s="174"/>
      <c r="F120" s="175"/>
      <c r="G120" s="173" t="s">
        <v>99</v>
      </c>
      <c r="H120" s="174"/>
      <c r="I120" s="174"/>
      <c r="J120" s="174"/>
      <c r="K120" s="175"/>
      <c r="L120" s="176" t="s">
        <v>51</v>
      </c>
      <c r="M120" s="177"/>
      <c r="N120" s="177"/>
      <c r="O120" s="177"/>
      <c r="P120" s="178"/>
    </row>
    <row r="121" spans="1:26" ht="15" customHeight="1" x14ac:dyDescent="0.25">
      <c r="A121" s="5"/>
      <c r="B121" s="137"/>
      <c r="C121" s="138"/>
      <c r="D121" s="138"/>
      <c r="E121" s="138"/>
      <c r="F121" s="139"/>
      <c r="G121" s="137"/>
      <c r="H121" s="138"/>
      <c r="I121" s="138"/>
      <c r="J121" s="138"/>
      <c r="K121" s="139"/>
      <c r="L121" s="146" t="s">
        <v>100</v>
      </c>
      <c r="M121" s="147"/>
      <c r="N121" s="147"/>
      <c r="O121" s="148">
        <f>+AVERAGE(E18:E98)</f>
        <v>0.43199999999999994</v>
      </c>
      <c r="P121" s="149"/>
    </row>
    <row r="122" spans="1:26" ht="15" customHeight="1" thickBot="1" x14ac:dyDescent="0.3">
      <c r="A122" s="5"/>
      <c r="B122" s="140"/>
      <c r="C122" s="141"/>
      <c r="D122" s="141"/>
      <c r="E122" s="141"/>
      <c r="F122" s="142"/>
      <c r="G122" s="140"/>
      <c r="H122" s="141"/>
      <c r="I122" s="141"/>
      <c r="J122" s="141"/>
      <c r="K122" s="142"/>
      <c r="L122" s="150" t="s">
        <v>101</v>
      </c>
      <c r="M122" s="151"/>
      <c r="N122" s="151"/>
      <c r="O122" s="152">
        <f>+MAX(E18:E98)</f>
        <v>0.62</v>
      </c>
      <c r="P122" s="153"/>
    </row>
    <row r="123" spans="1:26" ht="18.600000000000001" customHeight="1" x14ac:dyDescent="0.25">
      <c r="A123" s="6"/>
      <c r="B123" s="140"/>
      <c r="C123" s="141"/>
      <c r="D123" s="141"/>
      <c r="E123" s="141"/>
      <c r="F123" s="142"/>
      <c r="G123" s="140"/>
      <c r="H123" s="141"/>
      <c r="I123" s="141"/>
      <c r="J123" s="141"/>
      <c r="K123" s="142"/>
      <c r="L123" s="154"/>
      <c r="M123" s="155"/>
      <c r="N123" s="155"/>
      <c r="O123" s="155"/>
      <c r="P123" s="156"/>
    </row>
    <row r="124" spans="1:26" ht="61.5" customHeight="1" x14ac:dyDescent="0.25">
      <c r="A124" s="10"/>
      <c r="B124" s="140"/>
      <c r="C124" s="141"/>
      <c r="D124" s="141"/>
      <c r="E124" s="141"/>
      <c r="F124" s="142"/>
      <c r="G124" s="140"/>
      <c r="H124" s="141"/>
      <c r="I124" s="141"/>
      <c r="J124" s="141"/>
      <c r="K124" s="142"/>
      <c r="L124" s="157"/>
      <c r="M124" s="158"/>
      <c r="N124" s="158"/>
      <c r="O124" s="158"/>
      <c r="P124" s="159"/>
    </row>
    <row r="125" spans="1:26" ht="15" customHeight="1" thickBot="1" x14ac:dyDescent="0.3">
      <c r="A125" s="5"/>
      <c r="B125" s="140"/>
      <c r="C125" s="141"/>
      <c r="D125" s="141"/>
      <c r="E125" s="141"/>
      <c r="F125" s="142"/>
      <c r="G125" s="140"/>
      <c r="H125" s="141"/>
      <c r="I125" s="141"/>
      <c r="J125" s="141"/>
      <c r="K125" s="142"/>
      <c r="L125" s="160"/>
      <c r="M125" s="161"/>
      <c r="N125" s="161"/>
      <c r="O125" s="161"/>
      <c r="P125" s="162"/>
    </row>
    <row r="126" spans="1:26" ht="22.5" customHeight="1" thickBot="1" x14ac:dyDescent="0.3">
      <c r="A126" s="5"/>
      <c r="B126" s="140"/>
      <c r="C126" s="141"/>
      <c r="D126" s="141"/>
      <c r="E126" s="141"/>
      <c r="F126" s="142"/>
      <c r="G126" s="140"/>
      <c r="H126" s="141"/>
      <c r="I126" s="141"/>
      <c r="J126" s="141"/>
      <c r="K126" s="142"/>
      <c r="L126" s="163" t="s">
        <v>35</v>
      </c>
      <c r="M126" s="164"/>
      <c r="N126" s="164"/>
      <c r="O126" s="164"/>
      <c r="P126" s="83">
        <v>11.79</v>
      </c>
    </row>
    <row r="127" spans="1:26" ht="32.25" customHeight="1" thickBot="1" x14ac:dyDescent="0.3">
      <c r="A127" s="5"/>
      <c r="B127" s="143"/>
      <c r="C127" s="144"/>
      <c r="D127" s="144"/>
      <c r="E127" s="144"/>
      <c r="F127" s="145"/>
      <c r="G127" s="143"/>
      <c r="H127" s="144"/>
      <c r="I127" s="144"/>
      <c r="J127" s="144"/>
      <c r="K127" s="145"/>
      <c r="L127" s="165" t="s">
        <v>50</v>
      </c>
      <c r="M127" s="166"/>
      <c r="N127" s="166"/>
      <c r="O127" s="166"/>
      <c r="P127" s="83">
        <v>0.49199999999999999</v>
      </c>
      <c r="R127" s="99"/>
    </row>
    <row r="128" spans="1:26" ht="23.45" customHeight="1" thickBot="1" x14ac:dyDescent="0.3">
      <c r="A128" s="7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</row>
    <row r="129" spans="1:18" ht="15.75" thickBot="1" x14ac:dyDescent="0.3">
      <c r="A129" s="126" t="s">
        <v>36</v>
      </c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8"/>
    </row>
    <row r="130" spans="1:18" ht="159" customHeight="1" thickBot="1" x14ac:dyDescent="0.3">
      <c r="A130" s="4"/>
      <c r="B130" s="129"/>
      <c r="C130" s="130"/>
      <c r="D130" s="130"/>
      <c r="E130" s="130"/>
      <c r="F130" s="131"/>
      <c r="G130" s="129"/>
      <c r="H130" s="130"/>
      <c r="I130" s="130"/>
      <c r="J130" s="130"/>
      <c r="K130" s="131"/>
      <c r="L130" s="129"/>
      <c r="M130" s="130"/>
      <c r="N130" s="130"/>
      <c r="O130" s="130"/>
      <c r="P130" s="132"/>
    </row>
    <row r="131" spans="1:18" ht="21.75" customHeight="1" thickBot="1" x14ac:dyDescent="0.3">
      <c r="A131" s="4"/>
      <c r="B131" s="133" t="s">
        <v>105</v>
      </c>
      <c r="C131" s="134"/>
      <c r="D131" s="134"/>
      <c r="E131" s="134"/>
      <c r="F131" s="135"/>
      <c r="G131" s="133" t="s">
        <v>102</v>
      </c>
      <c r="H131" s="134"/>
      <c r="I131" s="134"/>
      <c r="J131" s="134"/>
      <c r="K131" s="135"/>
      <c r="L131" s="133" t="s">
        <v>106</v>
      </c>
      <c r="M131" s="134"/>
      <c r="N131" s="134"/>
      <c r="O131" s="134"/>
      <c r="P131" s="136"/>
    </row>
    <row r="132" spans="1:18" s="9" customFormat="1" ht="16.899999999999999" customHeight="1" thickBot="1" x14ac:dyDescent="0.3">
      <c r="A132" s="8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1"/>
      <c r="R132"/>
    </row>
    <row r="133" spans="1:18" s="3" customFormat="1" ht="15.75" customHeight="1" thickBot="1" x14ac:dyDescent="0.3">
      <c r="A133" s="122" t="s">
        <v>37</v>
      </c>
      <c r="B133" s="123"/>
      <c r="C133" s="123"/>
      <c r="D133" s="123"/>
      <c r="E133" s="123"/>
      <c r="F133" s="123"/>
      <c r="G133" s="123"/>
      <c r="H133" s="123"/>
      <c r="I133" s="123"/>
      <c r="J133" s="123" t="s">
        <v>38</v>
      </c>
      <c r="K133" s="123"/>
      <c r="L133" s="123"/>
      <c r="M133" s="123"/>
      <c r="N133" s="123"/>
      <c r="O133" s="123"/>
      <c r="P133" s="124"/>
      <c r="R133"/>
    </row>
  </sheetData>
  <mergeCells count="26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94:M98"/>
    <mergeCell ref="N94:N98"/>
    <mergeCell ref="O94:O98"/>
    <mergeCell ref="P94:P98"/>
    <mergeCell ref="B99:B104"/>
    <mergeCell ref="C99:P104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C105:H105"/>
    <mergeCell ref="I105:I106"/>
    <mergeCell ref="K105:P105"/>
    <mergeCell ref="C106:H106"/>
    <mergeCell ref="K106:P106"/>
    <mergeCell ref="B107:B117"/>
    <mergeCell ref="C107:C111"/>
    <mergeCell ref="D107:D111"/>
    <mergeCell ref="E107:E117"/>
    <mergeCell ref="K107:K117"/>
    <mergeCell ref="B118:J119"/>
    <mergeCell ref="O118:O119"/>
    <mergeCell ref="P118:P119"/>
    <mergeCell ref="B120:F120"/>
    <mergeCell ref="G120:K120"/>
    <mergeCell ref="L120:P120"/>
    <mergeCell ref="L107:L117"/>
    <mergeCell ref="M107:M117"/>
    <mergeCell ref="N107:N117"/>
    <mergeCell ref="O107:O117"/>
    <mergeCell ref="P107:P117"/>
    <mergeCell ref="C112:C117"/>
    <mergeCell ref="D112:D117"/>
    <mergeCell ref="B121:F127"/>
    <mergeCell ref="G121:K127"/>
    <mergeCell ref="L121:N121"/>
    <mergeCell ref="O121:P121"/>
    <mergeCell ref="L122:N122"/>
    <mergeCell ref="O122:P122"/>
    <mergeCell ref="L123:P125"/>
    <mergeCell ref="L126:O126"/>
    <mergeCell ref="L127:O127"/>
    <mergeCell ref="B132:P132"/>
    <mergeCell ref="A133:C133"/>
    <mergeCell ref="D133:I133"/>
    <mergeCell ref="J133:K133"/>
    <mergeCell ref="L133:P133"/>
    <mergeCell ref="B128:P128"/>
    <mergeCell ref="A129:P129"/>
    <mergeCell ref="B130:F130"/>
    <mergeCell ref="G130:K130"/>
    <mergeCell ref="L130:P130"/>
    <mergeCell ref="B131:F131"/>
    <mergeCell ref="G131:K131"/>
    <mergeCell ref="L131:P13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43"/>
  <sheetViews>
    <sheetView view="pageBreakPreview" zoomScale="80" zoomScaleSheetLayoutView="80" zoomScalePageLayoutView="110" workbookViewId="0">
      <selection activeCell="E19" sqref="E19:E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1" ht="4.9000000000000004" customHeight="1" thickBot="1" x14ac:dyDescent="0.3">
      <c r="J1" s="17"/>
    </row>
    <row r="2" spans="1:21" s="2" customFormat="1" ht="30" customHeight="1" x14ac:dyDescent="0.25">
      <c r="A2" s="316"/>
      <c r="B2" s="317"/>
      <c r="C2" s="318"/>
      <c r="D2" s="319"/>
      <c r="E2" s="320" t="s">
        <v>117</v>
      </c>
      <c r="F2" s="321"/>
      <c r="G2" s="321"/>
      <c r="H2" s="321"/>
      <c r="I2" s="321"/>
      <c r="J2" s="321"/>
      <c r="K2" s="321"/>
      <c r="L2" s="321"/>
      <c r="M2" s="321"/>
      <c r="N2" s="321"/>
      <c r="O2" s="322"/>
      <c r="P2" s="323"/>
    </row>
    <row r="3" spans="1:21" s="2" customFormat="1" ht="25.5" customHeight="1" thickBot="1" x14ac:dyDescent="0.3">
      <c r="A3" s="316"/>
      <c r="B3" s="324"/>
      <c r="C3" s="325"/>
      <c r="D3" s="326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30"/>
    </row>
    <row r="4" spans="1:21" s="19" customFormat="1" ht="11.25" customHeight="1" thickBot="1" x14ac:dyDescent="0.3">
      <c r="A4" s="18"/>
      <c r="B4" s="30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"/>
      <c r="R4" s="2"/>
      <c r="S4" s="2"/>
      <c r="T4" s="2"/>
      <c r="U4" s="2"/>
    </row>
    <row r="5" spans="1:21" s="22" customFormat="1" ht="31.5" customHeight="1" thickBot="1" x14ac:dyDescent="0.3">
      <c r="A5" s="20"/>
      <c r="B5" s="84" t="s">
        <v>0</v>
      </c>
      <c r="C5" s="307">
        <v>43274</v>
      </c>
      <c r="D5" s="308"/>
      <c r="E5" s="85" t="s">
        <v>52</v>
      </c>
      <c r="F5" s="86">
        <v>2</v>
      </c>
      <c r="G5" s="87" t="s">
        <v>1</v>
      </c>
      <c r="H5" s="331" t="s">
        <v>118</v>
      </c>
      <c r="I5" s="332"/>
      <c r="J5" s="332"/>
      <c r="K5" s="332"/>
      <c r="L5" s="332"/>
      <c r="M5" s="332"/>
      <c r="N5" s="332"/>
      <c r="O5" s="332"/>
      <c r="P5" s="333"/>
      <c r="Q5" s="21"/>
      <c r="R5" s="21"/>
      <c r="S5" s="21"/>
      <c r="T5" s="21"/>
      <c r="U5" s="21"/>
    </row>
    <row r="6" spans="1:21" s="92" customFormat="1" ht="21.75" customHeight="1" thickBot="1" x14ac:dyDescent="0.3">
      <c r="A6" s="88"/>
      <c r="B6" s="291" t="s">
        <v>2</v>
      </c>
      <c r="C6" s="292"/>
      <c r="D6" s="293" t="s">
        <v>107</v>
      </c>
      <c r="E6" s="294"/>
      <c r="F6" s="294"/>
      <c r="G6" s="294"/>
      <c r="H6" s="294"/>
      <c r="I6" s="295"/>
      <c r="J6" s="89" t="s">
        <v>3</v>
      </c>
      <c r="K6" s="293" t="s">
        <v>108</v>
      </c>
      <c r="L6" s="295"/>
      <c r="M6" s="293" t="s">
        <v>109</v>
      </c>
      <c r="N6" s="296"/>
      <c r="O6" s="90" t="s">
        <v>53</v>
      </c>
      <c r="P6" s="91"/>
    </row>
    <row r="7" spans="1:21" s="22" customFormat="1" ht="21.75" customHeight="1" x14ac:dyDescent="0.25">
      <c r="B7" s="297" t="s">
        <v>54</v>
      </c>
      <c r="C7" s="298" t="s">
        <v>55</v>
      </c>
      <c r="D7" s="269"/>
      <c r="E7" s="93"/>
      <c r="F7" s="299" t="s">
        <v>56</v>
      </c>
      <c r="G7" s="300"/>
      <c r="H7" s="300"/>
      <c r="I7" s="300"/>
      <c r="J7" s="301" t="s">
        <v>57</v>
      </c>
      <c r="K7" s="302"/>
      <c r="L7" s="302"/>
      <c r="M7" s="303"/>
      <c r="N7" s="304" t="s">
        <v>110</v>
      </c>
      <c r="O7" s="305"/>
      <c r="P7" s="94" t="s">
        <v>58</v>
      </c>
    </row>
    <row r="8" spans="1:21" s="22" customFormat="1" ht="21.75" customHeight="1" thickBot="1" x14ac:dyDescent="0.3">
      <c r="B8" s="243"/>
      <c r="C8" s="260" t="s">
        <v>59</v>
      </c>
      <c r="D8" s="259"/>
      <c r="E8" s="76" t="s">
        <v>4</v>
      </c>
      <c r="F8" s="270" t="s">
        <v>5</v>
      </c>
      <c r="G8" s="271"/>
      <c r="H8" s="271"/>
      <c r="I8" s="271"/>
      <c r="J8" s="272"/>
      <c r="K8" s="273"/>
      <c r="L8" s="273"/>
      <c r="M8" s="274"/>
      <c r="N8" s="275"/>
      <c r="O8" s="276"/>
      <c r="P8" s="95"/>
    </row>
    <row r="9" spans="1:21" s="22" customFormat="1" ht="21.75" customHeight="1" x14ac:dyDescent="0.25">
      <c r="B9" s="277" t="s">
        <v>6</v>
      </c>
      <c r="C9" s="280" t="s">
        <v>60</v>
      </c>
      <c r="D9" s="281" t="s">
        <v>61</v>
      </c>
      <c r="E9" s="266"/>
      <c r="F9" s="96"/>
      <c r="G9" s="282" t="s">
        <v>7</v>
      </c>
      <c r="H9" s="283" t="s">
        <v>8</v>
      </c>
      <c r="I9" s="269"/>
      <c r="J9" s="97"/>
      <c r="K9" s="280" t="s">
        <v>62</v>
      </c>
      <c r="L9" s="284" t="s">
        <v>111</v>
      </c>
      <c r="M9" s="285"/>
      <c r="N9" s="286"/>
      <c r="O9" s="286"/>
      <c r="P9" s="287"/>
    </row>
    <row r="10" spans="1:21" s="22" customFormat="1" ht="21.75" customHeight="1" thickBot="1" x14ac:dyDescent="0.3">
      <c r="B10" s="278"/>
      <c r="C10" s="223"/>
      <c r="D10" s="264" t="s">
        <v>63</v>
      </c>
      <c r="E10" s="259"/>
      <c r="F10" s="78" t="s">
        <v>4</v>
      </c>
      <c r="G10" s="223"/>
      <c r="H10" s="264" t="s">
        <v>9</v>
      </c>
      <c r="I10" s="259"/>
      <c r="J10" s="79" t="s">
        <v>4</v>
      </c>
      <c r="K10" s="223"/>
      <c r="L10" s="288"/>
      <c r="M10" s="289"/>
      <c r="N10" s="289"/>
      <c r="O10" s="289"/>
      <c r="P10" s="290"/>
    </row>
    <row r="11" spans="1:21" s="22" customFormat="1" ht="21.75" customHeight="1" x14ac:dyDescent="0.25">
      <c r="A11" s="20"/>
      <c r="B11" s="278"/>
      <c r="C11" s="265" t="s">
        <v>10</v>
      </c>
      <c r="D11" s="266"/>
      <c r="E11" s="80">
        <v>0.40972222222222227</v>
      </c>
      <c r="F11" s="267" t="s">
        <v>11</v>
      </c>
      <c r="G11" s="266"/>
      <c r="H11" s="81">
        <v>0.78</v>
      </c>
      <c r="I11" s="268" t="s">
        <v>12</v>
      </c>
      <c r="J11" s="269"/>
      <c r="K11" s="81">
        <v>21</v>
      </c>
      <c r="L11" s="265" t="s">
        <v>13</v>
      </c>
      <c r="M11" s="266"/>
      <c r="N11" s="77">
        <v>18</v>
      </c>
      <c r="O11" s="256" t="s">
        <v>64</v>
      </c>
      <c r="P11" s="257"/>
    </row>
    <row r="12" spans="1:21" s="22" customFormat="1" ht="21.75" customHeight="1" thickBot="1" x14ac:dyDescent="0.3">
      <c r="A12" s="20"/>
      <c r="B12" s="279"/>
      <c r="C12" s="258" t="s">
        <v>14</v>
      </c>
      <c r="D12" s="259"/>
      <c r="E12" s="80">
        <v>0.46527777777777773</v>
      </c>
      <c r="F12" s="260" t="s">
        <v>15</v>
      </c>
      <c r="G12" s="259"/>
      <c r="H12" s="81">
        <v>0.74</v>
      </c>
      <c r="I12" s="261" t="s">
        <v>16</v>
      </c>
      <c r="J12" s="259"/>
      <c r="K12" s="80">
        <v>0.4201388888888889</v>
      </c>
      <c r="L12" s="258" t="s">
        <v>17</v>
      </c>
      <c r="M12" s="259"/>
      <c r="N12" s="82">
        <v>1</v>
      </c>
      <c r="O12" s="262">
        <v>1.53</v>
      </c>
      <c r="P12" s="263"/>
    </row>
    <row r="13" spans="1:21" s="22" customFormat="1" ht="21.75" customHeight="1" x14ac:dyDescent="0.25">
      <c r="A13" s="20"/>
      <c r="B13" s="241" t="s">
        <v>18</v>
      </c>
      <c r="C13" s="244" t="s">
        <v>65</v>
      </c>
      <c r="D13" s="245"/>
      <c r="E13" s="245"/>
      <c r="F13" s="246" t="s">
        <v>66</v>
      </c>
      <c r="G13" s="245"/>
      <c r="H13" s="245"/>
      <c r="I13" s="245"/>
      <c r="J13" s="246" t="s">
        <v>67</v>
      </c>
      <c r="K13" s="245"/>
      <c r="L13" s="245"/>
      <c r="M13" s="245"/>
      <c r="N13" s="247" t="s">
        <v>68</v>
      </c>
      <c r="O13" s="245"/>
      <c r="P13" s="248"/>
      <c r="Q13" s="23"/>
      <c r="R13" s="21"/>
      <c r="S13" s="21"/>
      <c r="T13" s="21"/>
      <c r="U13" s="21"/>
    </row>
    <row r="14" spans="1:21" s="22" customFormat="1" ht="21.75" customHeight="1" x14ac:dyDescent="0.25">
      <c r="A14" s="20"/>
      <c r="B14" s="242"/>
      <c r="C14" s="249" t="s">
        <v>69</v>
      </c>
      <c r="D14" s="250"/>
      <c r="E14" s="250"/>
      <c r="F14" s="251" t="s">
        <v>70</v>
      </c>
      <c r="G14" s="250"/>
      <c r="H14" s="250"/>
      <c r="I14" s="250"/>
      <c r="J14" s="252" t="s">
        <v>71</v>
      </c>
      <c r="K14" s="250"/>
      <c r="L14" s="250"/>
      <c r="M14" s="250"/>
      <c r="N14" s="253"/>
      <c r="O14" s="238"/>
      <c r="P14" s="254"/>
      <c r="Q14" s="21"/>
      <c r="R14" s="21"/>
      <c r="S14" s="21"/>
      <c r="T14" s="21"/>
      <c r="U14" s="21"/>
    </row>
    <row r="15" spans="1:21" s="22" customFormat="1" ht="21.75" customHeight="1" thickBot="1" x14ac:dyDescent="0.3">
      <c r="A15" s="20"/>
      <c r="B15" s="243"/>
      <c r="C15" s="255" t="s">
        <v>72</v>
      </c>
      <c r="D15" s="225"/>
      <c r="E15" s="225"/>
      <c r="F15" s="225" t="s">
        <v>73</v>
      </c>
      <c r="G15" s="226"/>
      <c r="H15" s="226"/>
      <c r="I15" s="226"/>
      <c r="J15" s="225" t="s">
        <v>74</v>
      </c>
      <c r="K15" s="226"/>
      <c r="L15" s="226"/>
      <c r="M15" s="226"/>
      <c r="N15" s="227"/>
      <c r="O15" s="228"/>
      <c r="P15" s="229"/>
      <c r="Q15" s="21"/>
      <c r="R15" s="21"/>
      <c r="S15" s="21"/>
      <c r="T15" s="21"/>
      <c r="U15" s="21"/>
    </row>
    <row r="16" spans="1:21" s="22" customFormat="1" ht="21.75" customHeight="1" x14ac:dyDescent="0.25">
      <c r="A16" s="20"/>
      <c r="B16" s="230" t="s">
        <v>19</v>
      </c>
      <c r="C16" s="232" t="s">
        <v>20</v>
      </c>
      <c r="D16" s="232" t="s">
        <v>41</v>
      </c>
      <c r="E16" s="234" t="s">
        <v>21</v>
      </c>
      <c r="F16" s="235" t="s">
        <v>42</v>
      </c>
      <c r="G16" s="236"/>
      <c r="H16" s="232" t="s">
        <v>75</v>
      </c>
      <c r="I16" s="239" t="s">
        <v>76</v>
      </c>
      <c r="J16" s="24" t="s">
        <v>43</v>
      </c>
      <c r="K16" s="25"/>
      <c r="L16" s="26" t="s">
        <v>44</v>
      </c>
      <c r="M16" s="26" t="s">
        <v>45</v>
      </c>
      <c r="N16" s="26" t="s">
        <v>45</v>
      </c>
      <c r="O16" s="26" t="s">
        <v>46</v>
      </c>
      <c r="P16" s="27" t="s">
        <v>22</v>
      </c>
    </row>
    <row r="17" spans="1:21" s="22" customFormat="1" ht="21.75" customHeight="1" thickBot="1" x14ac:dyDescent="0.3">
      <c r="A17" s="28"/>
      <c r="B17" s="231"/>
      <c r="C17" s="233"/>
      <c r="D17" s="233"/>
      <c r="E17" s="233"/>
      <c r="F17" s="237"/>
      <c r="G17" s="238"/>
      <c r="H17" s="233"/>
      <c r="I17" s="240"/>
      <c r="J17" s="29" t="s">
        <v>23</v>
      </c>
      <c r="K17" s="30" t="s">
        <v>24</v>
      </c>
      <c r="L17" s="30" t="s">
        <v>47</v>
      </c>
      <c r="M17" s="30" t="s">
        <v>48</v>
      </c>
      <c r="N17" s="30" t="s">
        <v>25</v>
      </c>
      <c r="O17" s="30" t="s">
        <v>26</v>
      </c>
      <c r="P17" s="31" t="s">
        <v>27</v>
      </c>
    </row>
    <row r="18" spans="1:21" s="40" customFormat="1" ht="21.75" customHeight="1" thickBot="1" x14ac:dyDescent="0.3">
      <c r="A18" s="32"/>
      <c r="B18" s="33"/>
      <c r="C18" s="34">
        <f>+O12</f>
        <v>1.53</v>
      </c>
      <c r="D18" s="34">
        <v>0</v>
      </c>
      <c r="E18" s="35"/>
      <c r="F18" s="36"/>
      <c r="G18" s="75"/>
      <c r="H18" s="37"/>
      <c r="I18" s="38"/>
      <c r="J18" s="74"/>
      <c r="K18" s="35"/>
      <c r="L18" s="35"/>
      <c r="M18" s="35"/>
      <c r="N18" s="35"/>
      <c r="O18" s="35"/>
      <c r="P18" s="39"/>
      <c r="Q18" s="32"/>
      <c r="R18" s="32"/>
      <c r="S18" s="32"/>
      <c r="T18" s="32"/>
      <c r="U18" s="32"/>
    </row>
    <row r="19" spans="1:21" s="40" customFormat="1" ht="13.5" customHeight="1" x14ac:dyDescent="0.25">
      <c r="A19" s="32"/>
      <c r="B19" s="221">
        <v>1</v>
      </c>
      <c r="C19" s="224">
        <f>+C18+N12</f>
        <v>2.5300000000000002</v>
      </c>
      <c r="D19" s="201">
        <v>0.31</v>
      </c>
      <c r="E19" s="201">
        <v>0.19600000000000001</v>
      </c>
      <c r="F19" s="41" t="s">
        <v>77</v>
      </c>
      <c r="G19" s="42">
        <v>0</v>
      </c>
      <c r="H19" s="43"/>
      <c r="I19" s="44"/>
      <c r="J19" s="45">
        <v>2.3E-2</v>
      </c>
      <c r="K19" s="201">
        <f>+IF(E19&lt;=0.12,(J21),(IF(E19&lt;0.16,((J20+2*J21+J22)/4),IF(E19&gt;=0.16,((J19+3*J20+2*J21+3*J22+J23)/10)))))</f>
        <v>0.19919999999999999</v>
      </c>
      <c r="L19" s="201">
        <f>ROUND(+(D18+D19)/2*(C19-C18),3)</f>
        <v>0.155</v>
      </c>
      <c r="M19" s="201">
        <f>ROUND(+K19*L19,4)</f>
        <v>3.09E-2</v>
      </c>
      <c r="N19" s="204">
        <f>ROUND(+M19/$M$128*100,2)</f>
        <v>0.37</v>
      </c>
      <c r="O19" s="205"/>
      <c r="P19" s="206"/>
      <c r="Q19" s="32"/>
      <c r="R19" s="32"/>
      <c r="S19" s="32"/>
      <c r="T19" s="32"/>
      <c r="U19" s="32"/>
    </row>
    <row r="20" spans="1:21" s="40" customFormat="1" ht="13.5" customHeight="1" x14ac:dyDescent="0.25">
      <c r="A20" s="32"/>
      <c r="B20" s="222"/>
      <c r="C20" s="202"/>
      <c r="D20" s="202"/>
      <c r="E20" s="202"/>
      <c r="F20" s="46" t="s">
        <v>78</v>
      </c>
      <c r="G20" s="47">
        <f>IF(E19&lt;0.125,"NA",IF(0.125&lt;=E19,(0.2*E19)))</f>
        <v>3.9200000000000006E-2</v>
      </c>
      <c r="H20" s="48"/>
      <c r="I20" s="49"/>
      <c r="J20" s="50">
        <v>0.13600000000000001</v>
      </c>
      <c r="K20" s="202"/>
      <c r="L20" s="202"/>
      <c r="M20" s="202"/>
      <c r="N20" s="202"/>
      <c r="O20" s="202"/>
      <c r="P20" s="207"/>
      <c r="Q20" s="32"/>
      <c r="R20" s="32"/>
      <c r="S20" s="32"/>
      <c r="T20" s="32"/>
      <c r="U20" s="32"/>
    </row>
    <row r="21" spans="1:21" s="40" customFormat="1" ht="13.5" customHeight="1" x14ac:dyDescent="0.25">
      <c r="A21" s="32"/>
      <c r="B21" s="222"/>
      <c r="C21" s="202"/>
      <c r="D21" s="202"/>
      <c r="E21" s="202"/>
      <c r="F21" s="46" t="s">
        <v>79</v>
      </c>
      <c r="G21" s="47">
        <f>+E19*0.4</f>
        <v>7.8400000000000011E-2</v>
      </c>
      <c r="H21" s="48"/>
      <c r="I21" s="49"/>
      <c r="J21" s="50">
        <v>0.22800000000000001</v>
      </c>
      <c r="K21" s="202"/>
      <c r="L21" s="202"/>
      <c r="M21" s="202"/>
      <c r="N21" s="202"/>
      <c r="O21" s="202"/>
      <c r="P21" s="207"/>
      <c r="Q21" s="32"/>
      <c r="R21" s="32"/>
      <c r="S21" s="32"/>
      <c r="T21" s="32"/>
      <c r="U21" s="32"/>
    </row>
    <row r="22" spans="1:21" s="40" customFormat="1" ht="13.5" customHeight="1" x14ac:dyDescent="0.25">
      <c r="A22" s="32"/>
      <c r="B22" s="222"/>
      <c r="C22" s="202"/>
      <c r="D22" s="202"/>
      <c r="E22" s="202"/>
      <c r="F22" s="46" t="s">
        <v>80</v>
      </c>
      <c r="G22" s="47">
        <f>IF(E19&lt;0.125,"NA",IF(0.125&lt;=E19,(0.8*E19)))</f>
        <v>0.15680000000000002</v>
      </c>
      <c r="H22" s="48"/>
      <c r="I22" s="49"/>
      <c r="J22" s="50">
        <v>0.26800000000000002</v>
      </c>
      <c r="K22" s="202"/>
      <c r="L22" s="202"/>
      <c r="M22" s="202"/>
      <c r="N22" s="202"/>
      <c r="O22" s="202"/>
      <c r="P22" s="207"/>
      <c r="Q22" s="32"/>
      <c r="R22" s="32"/>
      <c r="S22" s="32"/>
      <c r="T22" s="32"/>
      <c r="U22" s="32"/>
    </row>
    <row r="23" spans="1:21" s="40" customFormat="1" ht="13.5" customHeight="1" thickBot="1" x14ac:dyDescent="0.3">
      <c r="A23" s="32"/>
      <c r="B23" s="223"/>
      <c r="C23" s="203"/>
      <c r="D23" s="203"/>
      <c r="E23" s="203"/>
      <c r="F23" s="51" t="s">
        <v>81</v>
      </c>
      <c r="G23" s="52">
        <f>+E19</f>
        <v>0.19600000000000001</v>
      </c>
      <c r="H23" s="53"/>
      <c r="I23" s="54"/>
      <c r="J23" s="55">
        <v>0.30099999999999999</v>
      </c>
      <c r="K23" s="203"/>
      <c r="L23" s="203"/>
      <c r="M23" s="203"/>
      <c r="N23" s="203"/>
      <c r="O23" s="203"/>
      <c r="P23" s="208"/>
      <c r="Q23" s="32"/>
      <c r="R23" s="32"/>
      <c r="S23" s="32"/>
      <c r="T23" s="32"/>
      <c r="U23" s="32"/>
    </row>
    <row r="24" spans="1:21" s="40" customFormat="1" ht="13.5" customHeight="1" x14ac:dyDescent="0.25">
      <c r="A24" s="32"/>
      <c r="B24" s="221">
        <v>2</v>
      </c>
      <c r="C24" s="224">
        <f>+C19+N12</f>
        <v>3.5300000000000002</v>
      </c>
      <c r="D24" s="201">
        <v>0.41399999999999998</v>
      </c>
      <c r="E24" s="201">
        <v>0.372</v>
      </c>
      <c r="F24" s="41" t="s">
        <v>77</v>
      </c>
      <c r="G24" s="42">
        <v>0</v>
      </c>
      <c r="H24" s="43"/>
      <c r="I24" s="44"/>
      <c r="J24" s="45">
        <v>0.14599999999999999</v>
      </c>
      <c r="K24" s="201">
        <f>+IF(E24&lt;=0.12,(J26),(IF(E24&lt;0.16,((J25+2*J26+J27)/4),IF(E24&gt;=0.16,((J24+3*J25+2*J26+3*J27+J28)/10)))))</f>
        <v>0.17709999999999998</v>
      </c>
      <c r="L24" s="201">
        <f>ROUND(+(D19+D24)/2*(C24-C19),3)</f>
        <v>0.36199999999999999</v>
      </c>
      <c r="M24" s="201">
        <f>ROUND(+K24*L24,4)</f>
        <v>6.4100000000000004E-2</v>
      </c>
      <c r="N24" s="204">
        <f>ROUND(+M24/$M$128*100,2)</f>
        <v>0.77</v>
      </c>
      <c r="O24" s="205"/>
      <c r="P24" s="206"/>
      <c r="Q24" s="32"/>
      <c r="R24" s="32"/>
      <c r="S24" s="32"/>
      <c r="T24" s="32"/>
      <c r="U24" s="32"/>
    </row>
    <row r="25" spans="1:21" s="40" customFormat="1" ht="13.5" customHeight="1" x14ac:dyDescent="0.25">
      <c r="A25" s="32"/>
      <c r="B25" s="222"/>
      <c r="C25" s="202"/>
      <c r="D25" s="202"/>
      <c r="E25" s="202"/>
      <c r="F25" s="46" t="s">
        <v>78</v>
      </c>
      <c r="G25" s="47">
        <f>IF(E24&lt;0.125,"NA",IF(0.125&lt;=E24,(0.2*E24)))</f>
        <v>7.4400000000000008E-2</v>
      </c>
      <c r="H25" s="48"/>
      <c r="I25" s="49"/>
      <c r="J25" s="50">
        <v>0.153</v>
      </c>
      <c r="K25" s="202"/>
      <c r="L25" s="202"/>
      <c r="M25" s="202"/>
      <c r="N25" s="202"/>
      <c r="O25" s="202"/>
      <c r="P25" s="207"/>
      <c r="Q25" s="32"/>
      <c r="R25" s="32"/>
      <c r="S25" s="32"/>
      <c r="T25" s="32"/>
      <c r="U25" s="32"/>
    </row>
    <row r="26" spans="1:21" s="40" customFormat="1" ht="13.5" customHeight="1" x14ac:dyDescent="0.25">
      <c r="A26" s="32"/>
      <c r="B26" s="222"/>
      <c r="C26" s="202"/>
      <c r="D26" s="202"/>
      <c r="E26" s="202"/>
      <c r="F26" s="46" t="s">
        <v>79</v>
      </c>
      <c r="G26" s="47">
        <f>+E24*0.4</f>
        <v>0.14880000000000002</v>
      </c>
      <c r="H26" s="48"/>
      <c r="I26" s="49"/>
      <c r="J26" s="50">
        <v>0.155</v>
      </c>
      <c r="K26" s="202"/>
      <c r="L26" s="202"/>
      <c r="M26" s="202"/>
      <c r="N26" s="202"/>
      <c r="O26" s="202"/>
      <c r="P26" s="207"/>
      <c r="Q26" s="32"/>
      <c r="R26" s="32"/>
      <c r="S26" s="32"/>
      <c r="T26" s="32"/>
      <c r="U26" s="32"/>
    </row>
    <row r="27" spans="1:21" s="40" customFormat="1" ht="13.5" customHeight="1" x14ac:dyDescent="0.25">
      <c r="A27" s="32"/>
      <c r="B27" s="222"/>
      <c r="C27" s="202"/>
      <c r="D27" s="202"/>
      <c r="E27" s="202"/>
      <c r="F27" s="46" t="s">
        <v>80</v>
      </c>
      <c r="G27" s="47">
        <f>IF(E24&lt;0.125,"NA",IF(0.125&lt;=E24,(0.8*E24)))</f>
        <v>0.29760000000000003</v>
      </c>
      <c r="H27" s="48"/>
      <c r="I27" s="49"/>
      <c r="J27" s="50">
        <v>0.20100000000000001</v>
      </c>
      <c r="K27" s="202"/>
      <c r="L27" s="202"/>
      <c r="M27" s="202"/>
      <c r="N27" s="202"/>
      <c r="O27" s="202"/>
      <c r="P27" s="207"/>
      <c r="Q27" s="32"/>
      <c r="R27" s="32"/>
      <c r="S27" s="32"/>
      <c r="T27" s="32"/>
      <c r="U27" s="32"/>
    </row>
    <row r="28" spans="1:21" s="40" customFormat="1" ht="13.5" customHeight="1" thickBot="1" x14ac:dyDescent="0.3">
      <c r="A28" s="32"/>
      <c r="B28" s="223"/>
      <c r="C28" s="203"/>
      <c r="D28" s="203"/>
      <c r="E28" s="203"/>
      <c r="F28" s="51" t="s">
        <v>81</v>
      </c>
      <c r="G28" s="52">
        <f>+E24</f>
        <v>0.372</v>
      </c>
      <c r="H28" s="53"/>
      <c r="I28" s="54"/>
      <c r="J28" s="55">
        <v>0.253</v>
      </c>
      <c r="K28" s="203"/>
      <c r="L28" s="203"/>
      <c r="M28" s="203"/>
      <c r="N28" s="203"/>
      <c r="O28" s="203"/>
      <c r="P28" s="208"/>
      <c r="Q28" s="32"/>
      <c r="R28" s="32"/>
      <c r="S28" s="32"/>
      <c r="T28" s="32"/>
      <c r="U28" s="32"/>
    </row>
    <row r="29" spans="1:21" s="40" customFormat="1" ht="13.5" customHeight="1" x14ac:dyDescent="0.25">
      <c r="A29" s="32"/>
      <c r="B29" s="221">
        <v>3</v>
      </c>
      <c r="C29" s="224">
        <f>+C24+$N$12</f>
        <v>4.53</v>
      </c>
      <c r="D29" s="201">
        <v>0.79200000000000004</v>
      </c>
      <c r="E29" s="201">
        <v>0.53100000000000003</v>
      </c>
      <c r="F29" s="41" t="s">
        <v>77</v>
      </c>
      <c r="G29" s="42">
        <v>0</v>
      </c>
      <c r="H29" s="43"/>
      <c r="I29" s="44"/>
      <c r="J29" s="45">
        <v>0.186</v>
      </c>
      <c r="K29" s="201">
        <f>+IF(E29&lt;=0.12,(J31),(IF(E29&lt;0.16,((J30+2*J31+J32)/4),IF(E29&gt;=0.16,((J29+3*J30+2*J31+3*J32+J33)/10)))))</f>
        <v>0.31520000000000004</v>
      </c>
      <c r="L29" s="201">
        <f>ROUND(+(D24+D29)/2*(C29-C24),3)</f>
        <v>0.60299999999999998</v>
      </c>
      <c r="M29" s="201">
        <f>ROUND(+K29*L29,4)</f>
        <v>0.19009999999999999</v>
      </c>
      <c r="N29" s="204">
        <f>ROUND(+M29/$M$128*100,2)</f>
        <v>2.2799999999999998</v>
      </c>
      <c r="O29" s="205"/>
      <c r="P29" s="206"/>
      <c r="Q29" s="32"/>
      <c r="R29" s="32"/>
      <c r="S29" s="32"/>
      <c r="T29" s="32"/>
      <c r="U29" s="32"/>
    </row>
    <row r="30" spans="1:21" s="40" customFormat="1" ht="13.5" customHeight="1" x14ac:dyDescent="0.25">
      <c r="A30" s="32"/>
      <c r="B30" s="222"/>
      <c r="C30" s="202"/>
      <c r="D30" s="202"/>
      <c r="E30" s="202"/>
      <c r="F30" s="46" t="s">
        <v>78</v>
      </c>
      <c r="G30" s="47">
        <f t="shared" ref="G30" si="0">IF(E29&lt;0.125,"NA",IF(0.125&lt;=E29,(0.2*E29)))</f>
        <v>0.10620000000000002</v>
      </c>
      <c r="H30" s="48"/>
      <c r="I30" s="49"/>
      <c r="J30" s="50">
        <v>0.28199999999999997</v>
      </c>
      <c r="K30" s="202"/>
      <c r="L30" s="202"/>
      <c r="M30" s="202"/>
      <c r="N30" s="202"/>
      <c r="O30" s="202"/>
      <c r="P30" s="207"/>
      <c r="Q30" s="32"/>
      <c r="R30" s="32"/>
      <c r="S30" s="32"/>
      <c r="T30" s="32"/>
      <c r="U30" s="32"/>
    </row>
    <row r="31" spans="1:21" s="40" customFormat="1" ht="13.5" customHeight="1" x14ac:dyDescent="0.25">
      <c r="A31" s="32"/>
      <c r="B31" s="222"/>
      <c r="C31" s="202"/>
      <c r="D31" s="202"/>
      <c r="E31" s="202"/>
      <c r="F31" s="46" t="s">
        <v>79</v>
      </c>
      <c r="G31" s="47">
        <f t="shared" ref="G31" si="1">+E29*0.4</f>
        <v>0.21240000000000003</v>
      </c>
      <c r="H31" s="48"/>
      <c r="I31" s="49"/>
      <c r="J31" s="50">
        <v>0.29499999999999998</v>
      </c>
      <c r="K31" s="202"/>
      <c r="L31" s="202"/>
      <c r="M31" s="202"/>
      <c r="N31" s="202"/>
      <c r="O31" s="202"/>
      <c r="P31" s="207"/>
      <c r="Q31" s="32"/>
      <c r="R31" s="32"/>
      <c r="S31" s="32"/>
      <c r="T31" s="32"/>
      <c r="U31" s="32"/>
    </row>
    <row r="32" spans="1:21" s="40" customFormat="1" ht="13.5" customHeight="1" x14ac:dyDescent="0.25">
      <c r="A32" s="32"/>
      <c r="B32" s="222"/>
      <c r="C32" s="202"/>
      <c r="D32" s="202"/>
      <c r="E32" s="202"/>
      <c r="F32" s="46" t="s">
        <v>80</v>
      </c>
      <c r="G32" s="47">
        <f t="shared" ref="G32" si="2">IF(E29&lt;0.125,"NA",IF(0.125&lt;=E29,(0.8*E29)))</f>
        <v>0.42480000000000007</v>
      </c>
      <c r="H32" s="48"/>
      <c r="I32" s="49"/>
      <c r="J32" s="50">
        <v>0.375</v>
      </c>
      <c r="K32" s="202"/>
      <c r="L32" s="202"/>
      <c r="M32" s="202"/>
      <c r="N32" s="202"/>
      <c r="O32" s="202"/>
      <c r="P32" s="207"/>
      <c r="Q32" s="32"/>
      <c r="R32" s="32"/>
      <c r="S32" s="32"/>
      <c r="T32" s="32"/>
      <c r="U32" s="32"/>
    </row>
    <row r="33" spans="1:21" s="40" customFormat="1" ht="13.5" customHeight="1" thickBot="1" x14ac:dyDescent="0.3">
      <c r="A33" s="32"/>
      <c r="B33" s="223"/>
      <c r="C33" s="203"/>
      <c r="D33" s="203"/>
      <c r="E33" s="203"/>
      <c r="F33" s="51" t="s">
        <v>81</v>
      </c>
      <c r="G33" s="52">
        <f t="shared" ref="G33" si="3">+E29</f>
        <v>0.53100000000000003</v>
      </c>
      <c r="H33" s="53"/>
      <c r="I33" s="54"/>
      <c r="J33" s="55">
        <v>0.40500000000000003</v>
      </c>
      <c r="K33" s="203"/>
      <c r="L33" s="203"/>
      <c r="M33" s="203"/>
      <c r="N33" s="203"/>
      <c r="O33" s="203"/>
      <c r="P33" s="208"/>
      <c r="Q33" s="32"/>
      <c r="R33" s="32"/>
      <c r="S33" s="32"/>
      <c r="T33" s="32"/>
      <c r="U33" s="32"/>
    </row>
    <row r="34" spans="1:21" s="40" customFormat="1" ht="13.5" customHeight="1" x14ac:dyDescent="0.25">
      <c r="A34" s="32"/>
      <c r="B34" s="221">
        <v>4</v>
      </c>
      <c r="C34" s="224">
        <f>+C29+$N$12</f>
        <v>5.53</v>
      </c>
      <c r="D34" s="201">
        <v>0.79100000000000004</v>
      </c>
      <c r="E34" s="201">
        <v>0.873</v>
      </c>
      <c r="F34" s="41" t="s">
        <v>77</v>
      </c>
      <c r="G34" s="42">
        <v>0</v>
      </c>
      <c r="H34" s="43"/>
      <c r="I34" s="44"/>
      <c r="J34" s="45">
        <v>0.32800000000000001</v>
      </c>
      <c r="K34" s="201">
        <f t="shared" ref="K34" si="4">+IF(E34&lt;=0.12,(J36),(IF(E34&lt;0.16,((J35+2*J36+J37)/4),IF(E34&gt;=0.16,((J34+3*J35+2*J36+3*J37+J38)/10)))))</f>
        <v>0.4708</v>
      </c>
      <c r="L34" s="201">
        <f>ROUND(+(D29+D34)/2*(C34-C29),3)</f>
        <v>0.79200000000000004</v>
      </c>
      <c r="M34" s="201">
        <f t="shared" ref="M34" si="5">ROUND(+K34*L34,4)</f>
        <v>0.37290000000000001</v>
      </c>
      <c r="N34" s="204">
        <f t="shared" ref="N34" si="6">ROUND(+M34/$M$128*100,2)</f>
        <v>4.47</v>
      </c>
      <c r="O34" s="205"/>
      <c r="P34" s="206"/>
      <c r="Q34" s="32"/>
      <c r="R34" s="32"/>
      <c r="S34" s="32"/>
      <c r="T34" s="32"/>
      <c r="U34" s="32"/>
    </row>
    <row r="35" spans="1:21" s="40" customFormat="1" ht="13.5" customHeight="1" x14ac:dyDescent="0.25">
      <c r="A35" s="32"/>
      <c r="B35" s="222"/>
      <c r="C35" s="202"/>
      <c r="D35" s="202"/>
      <c r="E35" s="202"/>
      <c r="F35" s="46" t="s">
        <v>78</v>
      </c>
      <c r="G35" s="47">
        <f t="shared" ref="G35" si="7">IF(E34&lt;0.125,"NA",IF(0.125&lt;=E34,(0.2*E34)))</f>
        <v>0.17460000000000001</v>
      </c>
      <c r="H35" s="48"/>
      <c r="I35" s="49"/>
      <c r="J35" s="50">
        <v>0.46800000000000003</v>
      </c>
      <c r="K35" s="202"/>
      <c r="L35" s="202"/>
      <c r="M35" s="202"/>
      <c r="N35" s="202"/>
      <c r="O35" s="202"/>
      <c r="P35" s="207"/>
      <c r="Q35" s="32"/>
      <c r="R35" s="32"/>
      <c r="S35" s="32"/>
      <c r="T35" s="32"/>
      <c r="U35" s="32"/>
    </row>
    <row r="36" spans="1:21" s="40" customFormat="1" ht="13.5" customHeight="1" x14ac:dyDescent="0.25">
      <c r="A36" s="32"/>
      <c r="B36" s="222"/>
      <c r="C36" s="202"/>
      <c r="D36" s="202"/>
      <c r="E36" s="202"/>
      <c r="F36" s="46" t="s">
        <v>79</v>
      </c>
      <c r="G36" s="47">
        <f t="shared" ref="G36" si="8">+E34*0.4</f>
        <v>0.34920000000000001</v>
      </c>
      <c r="H36" s="48"/>
      <c r="I36" s="49"/>
      <c r="J36" s="50">
        <v>0.47499999999999998</v>
      </c>
      <c r="K36" s="202"/>
      <c r="L36" s="202"/>
      <c r="M36" s="202"/>
      <c r="N36" s="202"/>
      <c r="O36" s="202"/>
      <c r="P36" s="207"/>
      <c r="Q36" s="32"/>
      <c r="R36" s="32"/>
      <c r="S36" s="32"/>
      <c r="T36" s="32"/>
      <c r="U36" s="32"/>
    </row>
    <row r="37" spans="1:21" s="40" customFormat="1" ht="13.5" customHeight="1" x14ac:dyDescent="0.25">
      <c r="A37" s="32"/>
      <c r="B37" s="222"/>
      <c r="C37" s="202"/>
      <c r="D37" s="202"/>
      <c r="E37" s="202"/>
      <c r="F37" s="46" t="s">
        <v>80</v>
      </c>
      <c r="G37" s="47">
        <f t="shared" ref="G37" si="9">IF(E34&lt;0.125,"NA",IF(0.125&lt;=E34,(0.8*E34)))</f>
        <v>0.69840000000000002</v>
      </c>
      <c r="H37" s="48"/>
      <c r="I37" s="49"/>
      <c r="J37" s="50">
        <v>0.502</v>
      </c>
      <c r="K37" s="202"/>
      <c r="L37" s="202"/>
      <c r="M37" s="202"/>
      <c r="N37" s="202"/>
      <c r="O37" s="202"/>
      <c r="P37" s="207"/>
      <c r="Q37" s="32"/>
      <c r="R37" s="32"/>
      <c r="S37" s="32"/>
      <c r="T37" s="32"/>
      <c r="U37" s="32"/>
    </row>
    <row r="38" spans="1:21" s="40" customFormat="1" ht="13.5" customHeight="1" thickBot="1" x14ac:dyDescent="0.3">
      <c r="A38" s="32"/>
      <c r="B38" s="223"/>
      <c r="C38" s="203"/>
      <c r="D38" s="203"/>
      <c r="E38" s="203"/>
      <c r="F38" s="51" t="s">
        <v>81</v>
      </c>
      <c r="G38" s="52">
        <f t="shared" ref="G38" si="10">+E34</f>
        <v>0.873</v>
      </c>
      <c r="H38" s="53"/>
      <c r="I38" s="54"/>
      <c r="J38" s="55">
        <v>0.52</v>
      </c>
      <c r="K38" s="203"/>
      <c r="L38" s="203"/>
      <c r="M38" s="203"/>
      <c r="N38" s="203"/>
      <c r="O38" s="203"/>
      <c r="P38" s="208"/>
      <c r="Q38" s="32"/>
      <c r="R38" s="32"/>
      <c r="S38" s="32"/>
      <c r="T38" s="32"/>
      <c r="U38" s="32"/>
    </row>
    <row r="39" spans="1:21" s="40" customFormat="1" ht="13.5" customHeight="1" x14ac:dyDescent="0.25">
      <c r="A39" s="32"/>
      <c r="B39" s="221">
        <v>5</v>
      </c>
      <c r="C39" s="224">
        <f>+C34+$N$12</f>
        <v>6.53</v>
      </c>
      <c r="D39" s="201">
        <v>0.91600000000000004</v>
      </c>
      <c r="E39" s="201">
        <v>0.86899999999999999</v>
      </c>
      <c r="F39" s="41" t="s">
        <v>77</v>
      </c>
      <c r="G39" s="42">
        <v>0</v>
      </c>
      <c r="H39" s="43"/>
      <c r="I39" s="44"/>
      <c r="J39" s="45">
        <v>0.379</v>
      </c>
      <c r="K39" s="201">
        <f t="shared" ref="K39" si="11">+IF(E39&lt;=0.12,(J41),(IF(E39&lt;0.16,((J40+2*J41+J42)/4),IF(E39&gt;=0.16,((J39+3*J40+2*J41+3*J42+J43)/10)))))</f>
        <v>0.50800000000000001</v>
      </c>
      <c r="L39" s="201">
        <f>ROUND(+(D34+D39)/2*(C39-C34),3)</f>
        <v>0.85399999999999998</v>
      </c>
      <c r="M39" s="201">
        <f t="shared" ref="M39" si="12">ROUND(+K39*L39,4)</f>
        <v>0.43380000000000002</v>
      </c>
      <c r="N39" s="204">
        <f t="shared" ref="N39" si="13">ROUND(+M39/$M$128*100,2)</f>
        <v>5.2</v>
      </c>
      <c r="O39" s="205"/>
      <c r="P39" s="206"/>
      <c r="Q39" s="32"/>
      <c r="R39" s="32"/>
      <c r="S39" s="32"/>
      <c r="T39" s="32"/>
      <c r="U39" s="32"/>
    </row>
    <row r="40" spans="1:21" s="40" customFormat="1" ht="13.5" customHeight="1" x14ac:dyDescent="0.25">
      <c r="A40" s="32"/>
      <c r="B40" s="222"/>
      <c r="C40" s="202"/>
      <c r="D40" s="202"/>
      <c r="E40" s="202"/>
      <c r="F40" s="46" t="s">
        <v>78</v>
      </c>
      <c r="G40" s="47">
        <f t="shared" ref="G40" si="14">IF(E39&lt;0.125,"NA",IF(0.125&lt;=E39,(0.2*E39)))</f>
        <v>0.17380000000000001</v>
      </c>
      <c r="H40" s="48"/>
      <c r="I40" s="49"/>
      <c r="J40" s="50">
        <v>0.45600000000000002</v>
      </c>
      <c r="K40" s="202"/>
      <c r="L40" s="202"/>
      <c r="M40" s="202"/>
      <c r="N40" s="202"/>
      <c r="O40" s="202"/>
      <c r="P40" s="207"/>
      <c r="Q40" s="32"/>
      <c r="R40" s="32"/>
      <c r="S40" s="32"/>
      <c r="T40" s="32"/>
      <c r="U40" s="32"/>
    </row>
    <row r="41" spans="1:21" s="40" customFormat="1" ht="13.5" customHeight="1" x14ac:dyDescent="0.25">
      <c r="A41" s="32"/>
      <c r="B41" s="222"/>
      <c r="C41" s="202"/>
      <c r="D41" s="202"/>
      <c r="E41" s="202"/>
      <c r="F41" s="46" t="s">
        <v>79</v>
      </c>
      <c r="G41" s="47">
        <f t="shared" ref="G41" si="15">+E39*0.4</f>
        <v>0.34760000000000002</v>
      </c>
      <c r="H41" s="48"/>
      <c r="I41" s="49"/>
      <c r="J41" s="50">
        <v>0.51800000000000002</v>
      </c>
      <c r="K41" s="202"/>
      <c r="L41" s="202"/>
      <c r="M41" s="202"/>
      <c r="N41" s="202"/>
      <c r="O41" s="202"/>
      <c r="P41" s="207"/>
      <c r="Q41" s="32"/>
      <c r="R41" s="32"/>
      <c r="S41" s="32"/>
      <c r="T41" s="32"/>
      <c r="U41" s="32"/>
    </row>
    <row r="42" spans="1:21" s="40" customFormat="1" ht="13.5" customHeight="1" x14ac:dyDescent="0.25">
      <c r="A42" s="32"/>
      <c r="B42" s="222"/>
      <c r="C42" s="202"/>
      <c r="D42" s="202"/>
      <c r="E42" s="202"/>
      <c r="F42" s="46" t="s">
        <v>80</v>
      </c>
      <c r="G42" s="47">
        <f t="shared" ref="G42" si="16">IF(E39&lt;0.125,"NA",IF(0.125&lt;=E39,(0.8*E39)))</f>
        <v>0.69520000000000004</v>
      </c>
      <c r="H42" s="48"/>
      <c r="I42" s="49"/>
      <c r="J42" s="50">
        <v>0.56699999999999995</v>
      </c>
      <c r="K42" s="202"/>
      <c r="L42" s="202"/>
      <c r="M42" s="202"/>
      <c r="N42" s="202"/>
      <c r="O42" s="202"/>
      <c r="P42" s="207"/>
      <c r="Q42" s="32"/>
      <c r="R42" s="32"/>
      <c r="S42" s="32"/>
      <c r="T42" s="32"/>
      <c r="U42" s="32"/>
    </row>
    <row r="43" spans="1:21" s="40" customFormat="1" ht="13.5" customHeight="1" thickBot="1" x14ac:dyDescent="0.3">
      <c r="A43" s="32"/>
      <c r="B43" s="223"/>
      <c r="C43" s="203"/>
      <c r="D43" s="203"/>
      <c r="E43" s="203"/>
      <c r="F43" s="51" t="s">
        <v>81</v>
      </c>
      <c r="G43" s="52">
        <f t="shared" ref="G43" si="17">+E39</f>
        <v>0.86899999999999999</v>
      </c>
      <c r="H43" s="53"/>
      <c r="I43" s="54"/>
      <c r="J43" s="55">
        <v>0.59599999999999997</v>
      </c>
      <c r="K43" s="203"/>
      <c r="L43" s="203"/>
      <c r="M43" s="203"/>
      <c r="N43" s="203"/>
      <c r="O43" s="203"/>
      <c r="P43" s="208"/>
      <c r="Q43" s="32"/>
      <c r="R43" s="32"/>
      <c r="S43" s="32"/>
      <c r="T43" s="32"/>
      <c r="U43" s="32"/>
    </row>
    <row r="44" spans="1:21" s="40" customFormat="1" ht="13.5" customHeight="1" x14ac:dyDescent="0.25">
      <c r="A44" s="32"/>
      <c r="B44" s="221">
        <v>6</v>
      </c>
      <c r="C44" s="224">
        <f>+C39+$N$12</f>
        <v>7.53</v>
      </c>
      <c r="D44" s="201">
        <v>0.90700000000000003</v>
      </c>
      <c r="E44" s="201">
        <v>0.90600000000000003</v>
      </c>
      <c r="F44" s="41" t="s">
        <v>77</v>
      </c>
      <c r="G44" s="42">
        <v>0</v>
      </c>
      <c r="H44" s="43"/>
      <c r="I44" s="44"/>
      <c r="J44" s="45">
        <v>0.497</v>
      </c>
      <c r="K44" s="201">
        <f t="shared" ref="K44" si="18">+IF(E44&lt;=0.12,(J46),(IF(E44&lt;0.16,((J45+2*J46+J47)/4),IF(E44&gt;=0.16,((J44+3*J45+2*J46+3*J47+J48)/10)))))</f>
        <v>0.55630000000000002</v>
      </c>
      <c r="L44" s="201">
        <f>ROUND(+(D39+D44)/2*(C44-C39),3)</f>
        <v>0.91200000000000003</v>
      </c>
      <c r="M44" s="201">
        <f t="shared" ref="M44" si="19">ROUND(+K44*L44,4)</f>
        <v>0.50729999999999997</v>
      </c>
      <c r="N44" s="204">
        <f t="shared" ref="N44" si="20">ROUND(+M44/$M$128*100,2)</f>
        <v>6.08</v>
      </c>
      <c r="O44" s="205"/>
      <c r="P44" s="206"/>
      <c r="Q44" s="32"/>
      <c r="R44" s="32"/>
      <c r="S44" s="32"/>
      <c r="T44" s="32"/>
      <c r="U44" s="32"/>
    </row>
    <row r="45" spans="1:21" s="40" customFormat="1" ht="13.5" customHeight="1" x14ac:dyDescent="0.25">
      <c r="A45" s="32"/>
      <c r="B45" s="222"/>
      <c r="C45" s="202"/>
      <c r="D45" s="202"/>
      <c r="E45" s="202"/>
      <c r="F45" s="46" t="s">
        <v>78</v>
      </c>
      <c r="G45" s="47">
        <f t="shared" ref="G45" si="21">IF(E44&lt;0.125,"NA",IF(0.125&lt;=E44,(0.2*E44)))</f>
        <v>0.18120000000000003</v>
      </c>
      <c r="H45" s="48"/>
      <c r="I45" s="49"/>
      <c r="J45" s="50">
        <v>0.504</v>
      </c>
      <c r="K45" s="202"/>
      <c r="L45" s="202"/>
      <c r="M45" s="202"/>
      <c r="N45" s="202"/>
      <c r="O45" s="202"/>
      <c r="P45" s="207"/>
      <c r="Q45" s="32"/>
      <c r="R45" s="32"/>
      <c r="S45" s="32"/>
      <c r="T45" s="32"/>
      <c r="U45" s="32"/>
    </row>
    <row r="46" spans="1:21" s="40" customFormat="1" ht="13.5" customHeight="1" x14ac:dyDescent="0.25">
      <c r="A46" s="32"/>
      <c r="B46" s="222"/>
      <c r="C46" s="202"/>
      <c r="D46" s="202"/>
      <c r="E46" s="202"/>
      <c r="F46" s="46" t="s">
        <v>79</v>
      </c>
      <c r="G46" s="47">
        <f t="shared" ref="G46" si="22">+E44*0.4</f>
        <v>0.36240000000000006</v>
      </c>
      <c r="H46" s="48"/>
      <c r="I46" s="49"/>
      <c r="J46" s="50">
        <v>0.56100000000000005</v>
      </c>
      <c r="K46" s="202"/>
      <c r="L46" s="202"/>
      <c r="M46" s="202"/>
      <c r="N46" s="202"/>
      <c r="O46" s="202"/>
      <c r="P46" s="207"/>
      <c r="Q46" s="32"/>
      <c r="R46" s="32"/>
      <c r="S46" s="32"/>
      <c r="T46" s="32"/>
      <c r="U46" s="32"/>
    </row>
    <row r="47" spans="1:21" s="40" customFormat="1" ht="13.5" customHeight="1" x14ac:dyDescent="0.25">
      <c r="A47" s="32"/>
      <c r="B47" s="222"/>
      <c r="C47" s="202"/>
      <c r="D47" s="202"/>
      <c r="E47" s="202"/>
      <c r="F47" s="46" t="s">
        <v>80</v>
      </c>
      <c r="G47" s="47">
        <f t="shared" ref="G47" si="23">IF(E44&lt;0.125,"NA",IF(0.125&lt;=E44,(0.8*E44)))</f>
        <v>0.72480000000000011</v>
      </c>
      <c r="H47" s="48"/>
      <c r="I47" s="49"/>
      <c r="J47" s="50">
        <v>0.56899999999999995</v>
      </c>
      <c r="K47" s="202"/>
      <c r="L47" s="202"/>
      <c r="M47" s="202"/>
      <c r="N47" s="202"/>
      <c r="O47" s="202"/>
      <c r="P47" s="207"/>
      <c r="Q47" s="32"/>
      <c r="R47" s="32"/>
      <c r="S47" s="32"/>
      <c r="T47" s="32"/>
      <c r="U47" s="32"/>
    </row>
    <row r="48" spans="1:21" s="40" customFormat="1" ht="13.5" customHeight="1" thickBot="1" x14ac:dyDescent="0.3">
      <c r="A48" s="32"/>
      <c r="B48" s="223"/>
      <c r="C48" s="203"/>
      <c r="D48" s="203"/>
      <c r="E48" s="203"/>
      <c r="F48" s="51" t="s">
        <v>81</v>
      </c>
      <c r="G48" s="52">
        <f t="shared" ref="G48" si="24">+E44</f>
        <v>0.90600000000000003</v>
      </c>
      <c r="H48" s="53"/>
      <c r="I48" s="54"/>
      <c r="J48" s="55">
        <v>0.72499999999999998</v>
      </c>
      <c r="K48" s="203"/>
      <c r="L48" s="203"/>
      <c r="M48" s="203"/>
      <c r="N48" s="203"/>
      <c r="O48" s="203"/>
      <c r="P48" s="208"/>
      <c r="Q48" s="32"/>
      <c r="R48" s="32"/>
      <c r="S48" s="32"/>
      <c r="T48" s="32"/>
      <c r="U48" s="32"/>
    </row>
    <row r="49" spans="1:21" s="40" customFormat="1" ht="13.5" customHeight="1" x14ac:dyDescent="0.25">
      <c r="A49" s="32"/>
      <c r="B49" s="221">
        <v>7</v>
      </c>
      <c r="C49" s="224">
        <f t="shared" ref="C49" si="25">+C44+$N$12</f>
        <v>8.5300000000000011</v>
      </c>
      <c r="D49" s="201">
        <v>0.86299999999999999</v>
      </c>
      <c r="E49" s="201">
        <v>0.92200000000000004</v>
      </c>
      <c r="F49" s="41" t="s">
        <v>77</v>
      </c>
      <c r="G49" s="42">
        <v>0</v>
      </c>
      <c r="H49" s="43"/>
      <c r="I49" s="44"/>
      <c r="J49" s="100"/>
      <c r="K49" s="201"/>
      <c r="L49" s="201"/>
      <c r="M49" s="201"/>
      <c r="N49" s="204"/>
      <c r="O49" s="205"/>
      <c r="P49" s="206"/>
      <c r="Q49" s="32"/>
      <c r="R49" s="32"/>
      <c r="S49" s="32"/>
      <c r="T49" s="32"/>
      <c r="U49" s="32"/>
    </row>
    <row r="50" spans="1:21" s="40" customFormat="1" ht="13.5" customHeight="1" x14ac:dyDescent="0.25">
      <c r="A50" s="32"/>
      <c r="B50" s="222"/>
      <c r="C50" s="202"/>
      <c r="D50" s="202"/>
      <c r="E50" s="202"/>
      <c r="F50" s="46" t="s">
        <v>78</v>
      </c>
      <c r="G50" s="47">
        <f t="shared" ref="G50" si="26">IF(E49&lt;0.125,"NA",IF(0.125&lt;=E49,(0.2*E49)))</f>
        <v>0.18440000000000001</v>
      </c>
      <c r="H50" s="48"/>
      <c r="I50" s="49"/>
      <c r="J50" s="101"/>
      <c r="K50" s="202"/>
      <c r="L50" s="202"/>
      <c r="M50" s="202"/>
      <c r="N50" s="202"/>
      <c r="O50" s="202"/>
      <c r="P50" s="207"/>
      <c r="Q50" s="32"/>
      <c r="R50" s="32"/>
      <c r="S50" s="32"/>
      <c r="T50" s="32"/>
      <c r="U50" s="32"/>
    </row>
    <row r="51" spans="1:21" s="40" customFormat="1" ht="13.5" customHeight="1" x14ac:dyDescent="0.25">
      <c r="A51" s="32"/>
      <c r="B51" s="222"/>
      <c r="C51" s="202"/>
      <c r="D51" s="202"/>
      <c r="E51" s="202"/>
      <c r="F51" s="46" t="s">
        <v>79</v>
      </c>
      <c r="G51" s="47">
        <f t="shared" ref="G51" si="27">+E49*0.4</f>
        <v>0.36880000000000002</v>
      </c>
      <c r="H51" s="48"/>
      <c r="I51" s="49"/>
      <c r="J51" s="101"/>
      <c r="K51" s="202"/>
      <c r="L51" s="202"/>
      <c r="M51" s="202"/>
      <c r="N51" s="202"/>
      <c r="O51" s="202"/>
      <c r="P51" s="207"/>
      <c r="Q51" s="32"/>
      <c r="R51" s="32"/>
      <c r="S51" s="32"/>
      <c r="T51" s="32"/>
      <c r="U51" s="32"/>
    </row>
    <row r="52" spans="1:21" s="40" customFormat="1" ht="13.5" customHeight="1" x14ac:dyDescent="0.25">
      <c r="A52" s="32"/>
      <c r="B52" s="222"/>
      <c r="C52" s="202"/>
      <c r="D52" s="202"/>
      <c r="E52" s="202"/>
      <c r="F52" s="46" t="s">
        <v>80</v>
      </c>
      <c r="G52" s="47">
        <f t="shared" ref="G52" si="28">IF(E49&lt;0.125,"NA",IF(0.125&lt;=E49,(0.8*E49)))</f>
        <v>0.73760000000000003</v>
      </c>
      <c r="H52" s="48"/>
      <c r="I52" s="49"/>
      <c r="J52" s="101"/>
      <c r="K52" s="202"/>
      <c r="L52" s="202"/>
      <c r="M52" s="202"/>
      <c r="N52" s="202"/>
      <c r="O52" s="202"/>
      <c r="P52" s="207"/>
      <c r="Q52" s="32"/>
      <c r="R52" s="32"/>
      <c r="S52" s="32"/>
      <c r="T52" s="32"/>
      <c r="U52" s="32"/>
    </row>
    <row r="53" spans="1:21" s="40" customFormat="1" ht="13.5" customHeight="1" thickBot="1" x14ac:dyDescent="0.3">
      <c r="A53" s="32"/>
      <c r="B53" s="223"/>
      <c r="C53" s="203"/>
      <c r="D53" s="203"/>
      <c r="E53" s="203"/>
      <c r="F53" s="51" t="s">
        <v>81</v>
      </c>
      <c r="G53" s="52">
        <f t="shared" ref="G53" si="29">+E49</f>
        <v>0.92200000000000004</v>
      </c>
      <c r="H53" s="53"/>
      <c r="I53" s="54"/>
      <c r="J53" s="102"/>
      <c r="K53" s="203"/>
      <c r="L53" s="203"/>
      <c r="M53" s="203"/>
      <c r="N53" s="203"/>
      <c r="O53" s="203"/>
      <c r="P53" s="208"/>
      <c r="Q53" s="32"/>
      <c r="R53" s="32"/>
      <c r="S53" s="32"/>
      <c r="T53" s="32"/>
      <c r="U53" s="32"/>
    </row>
    <row r="54" spans="1:21" s="40" customFormat="1" ht="13.5" customHeight="1" x14ac:dyDescent="0.25">
      <c r="A54" s="32"/>
      <c r="B54" s="221">
        <v>8</v>
      </c>
      <c r="C54" s="224">
        <f t="shared" ref="C54" si="30">+C49+$N$12</f>
        <v>9.5300000000000011</v>
      </c>
      <c r="D54" s="201">
        <v>0.73199999999999998</v>
      </c>
      <c r="E54" s="201">
        <v>0.81100000000000005</v>
      </c>
      <c r="F54" s="41" t="s">
        <v>77</v>
      </c>
      <c r="G54" s="42">
        <v>0</v>
      </c>
      <c r="H54" s="43"/>
      <c r="I54" s="44"/>
      <c r="J54" s="45">
        <v>0.66900000000000004</v>
      </c>
      <c r="K54" s="201">
        <f t="shared" ref="K54" si="31">+IF(E54&lt;=0.12,(J56),(IF(E54&lt;0.16,((J55+2*J56+J57)/4),IF(E54&gt;=0.16,((J54+3*J55+2*J56+3*J57+J58)/10)))))</f>
        <v>1.0394999999999999</v>
      </c>
      <c r="L54" s="201">
        <f>ROUND(+(D49+D54)/2*(C54-C49),3)</f>
        <v>0.79800000000000004</v>
      </c>
      <c r="M54" s="201">
        <f t="shared" ref="M54" si="32">ROUND(+K54*L54,4)</f>
        <v>0.82950000000000002</v>
      </c>
      <c r="N54" s="204">
        <f t="shared" ref="N54" si="33">ROUND(+M54/$M$128*100,2)</f>
        <v>9.94</v>
      </c>
      <c r="O54" s="205"/>
      <c r="P54" s="206"/>
      <c r="Q54" s="32"/>
      <c r="R54" s="32"/>
      <c r="S54" s="32"/>
      <c r="T54" s="32"/>
      <c r="U54" s="32"/>
    </row>
    <row r="55" spans="1:21" s="40" customFormat="1" ht="13.5" customHeight="1" x14ac:dyDescent="0.25">
      <c r="A55" s="32"/>
      <c r="B55" s="222"/>
      <c r="C55" s="202"/>
      <c r="D55" s="202"/>
      <c r="E55" s="202"/>
      <c r="F55" s="46" t="s">
        <v>78</v>
      </c>
      <c r="G55" s="47">
        <f t="shared" ref="G55" si="34">IF(E54&lt;0.125,"NA",IF(0.125&lt;=E54,(0.2*E54)))</f>
        <v>0.16220000000000001</v>
      </c>
      <c r="H55" s="48"/>
      <c r="I55" s="49"/>
      <c r="J55" s="50">
        <v>0.95</v>
      </c>
      <c r="K55" s="202"/>
      <c r="L55" s="202"/>
      <c r="M55" s="202"/>
      <c r="N55" s="202"/>
      <c r="O55" s="202"/>
      <c r="P55" s="207"/>
      <c r="Q55" s="32"/>
      <c r="R55" s="32"/>
      <c r="S55" s="32"/>
      <c r="T55" s="32"/>
      <c r="U55" s="32"/>
    </row>
    <row r="56" spans="1:21" s="40" customFormat="1" ht="13.5" customHeight="1" x14ac:dyDescent="0.25">
      <c r="A56" s="32"/>
      <c r="B56" s="222"/>
      <c r="C56" s="202"/>
      <c r="D56" s="202"/>
      <c r="E56" s="202"/>
      <c r="F56" s="46" t="s">
        <v>79</v>
      </c>
      <c r="G56" s="47">
        <f t="shared" ref="G56" si="35">+E54*0.4</f>
        <v>0.32440000000000002</v>
      </c>
      <c r="H56" s="48"/>
      <c r="I56" s="49"/>
      <c r="J56" s="50">
        <v>1.127</v>
      </c>
      <c r="K56" s="202"/>
      <c r="L56" s="202"/>
      <c r="M56" s="202"/>
      <c r="N56" s="202"/>
      <c r="O56" s="202"/>
      <c r="P56" s="207"/>
      <c r="Q56" s="32"/>
      <c r="R56" s="32"/>
      <c r="S56" s="32"/>
      <c r="T56" s="32"/>
      <c r="U56" s="32"/>
    </row>
    <row r="57" spans="1:21" s="40" customFormat="1" ht="13.5" customHeight="1" x14ac:dyDescent="0.25">
      <c r="A57" s="32"/>
      <c r="B57" s="222"/>
      <c r="C57" s="202"/>
      <c r="D57" s="202"/>
      <c r="E57" s="202"/>
      <c r="F57" s="46" t="s">
        <v>80</v>
      </c>
      <c r="G57" s="47">
        <f t="shared" ref="G57" si="36">IF(E54&lt;0.125,"NA",IF(0.125&lt;=E54,(0.8*E54)))</f>
        <v>0.64880000000000004</v>
      </c>
      <c r="H57" s="48"/>
      <c r="I57" s="49"/>
      <c r="J57" s="50">
        <v>1.149</v>
      </c>
      <c r="K57" s="202"/>
      <c r="L57" s="202"/>
      <c r="M57" s="202"/>
      <c r="N57" s="202"/>
      <c r="O57" s="202"/>
      <c r="P57" s="207"/>
      <c r="Q57" s="32"/>
      <c r="R57" s="32"/>
      <c r="S57" s="32"/>
      <c r="T57" s="32"/>
      <c r="U57" s="32"/>
    </row>
    <row r="58" spans="1:21" s="40" customFormat="1" ht="13.5" customHeight="1" thickBot="1" x14ac:dyDescent="0.3">
      <c r="A58" s="32"/>
      <c r="B58" s="223"/>
      <c r="C58" s="203"/>
      <c r="D58" s="203"/>
      <c r="E58" s="203"/>
      <c r="F58" s="51" t="s">
        <v>81</v>
      </c>
      <c r="G58" s="52">
        <f t="shared" ref="G58" si="37">+E54</f>
        <v>0.81100000000000005</v>
      </c>
      <c r="H58" s="53"/>
      <c r="I58" s="54"/>
      <c r="J58" s="55">
        <v>1.175</v>
      </c>
      <c r="K58" s="203"/>
      <c r="L58" s="203"/>
      <c r="M58" s="203"/>
      <c r="N58" s="203"/>
      <c r="O58" s="203"/>
      <c r="P58" s="208"/>
      <c r="Q58" s="32"/>
      <c r="R58" s="32"/>
      <c r="S58" s="32"/>
      <c r="T58" s="32"/>
      <c r="U58" s="32"/>
    </row>
    <row r="59" spans="1:21" s="105" customFormat="1" ht="13.5" customHeight="1" x14ac:dyDescent="0.25">
      <c r="A59" s="103"/>
      <c r="B59" s="309">
        <v>9</v>
      </c>
      <c r="C59" s="224">
        <f>+C54+$N$12</f>
        <v>10.530000000000001</v>
      </c>
      <c r="D59" s="201">
        <v>0.63300000000000001</v>
      </c>
      <c r="E59" s="201">
        <v>0.68200000000000005</v>
      </c>
      <c r="F59" s="41" t="s">
        <v>77</v>
      </c>
      <c r="G59" s="42">
        <v>0</v>
      </c>
      <c r="H59" s="43"/>
      <c r="I59" s="104"/>
      <c r="J59" s="45">
        <v>0.77100000000000002</v>
      </c>
      <c r="K59" s="201">
        <f t="shared" ref="K59" si="38">+IF(E59&lt;=0.12,(J61),(IF(E59&lt;0.16,((J60+2*J61+J62)/4),IF(E59&gt;=0.16,((J59+3*J60+2*J61+3*J62+J63)/10)))))</f>
        <v>1.0146999999999999</v>
      </c>
      <c r="L59" s="201">
        <f>ROUND(+(D54+D59)/2*(C59-C54),3)</f>
        <v>0.68300000000000005</v>
      </c>
      <c r="M59" s="201">
        <f t="shared" ref="M59" si="39">ROUND(+K59*L59,4)</f>
        <v>0.69299999999999995</v>
      </c>
      <c r="N59" s="204">
        <f t="shared" ref="N59" si="40">ROUND(+M59/$M$128*100,2)</f>
        <v>8.31</v>
      </c>
      <c r="O59" s="205"/>
      <c r="P59" s="206"/>
      <c r="Q59" s="103"/>
      <c r="R59" s="103"/>
      <c r="S59" s="103"/>
      <c r="T59" s="103"/>
      <c r="U59" s="103"/>
    </row>
    <row r="60" spans="1:21" s="105" customFormat="1" ht="13.5" customHeight="1" x14ac:dyDescent="0.25">
      <c r="A60" s="103"/>
      <c r="B60" s="222"/>
      <c r="C60" s="202"/>
      <c r="D60" s="202"/>
      <c r="E60" s="202"/>
      <c r="F60" s="46" t="s">
        <v>78</v>
      </c>
      <c r="G60" s="47">
        <f t="shared" ref="G60" si="41">IF(E59&lt;0.125,"NA",IF(0.125&lt;=E59,(0.2*E59)))</f>
        <v>0.13640000000000002</v>
      </c>
      <c r="H60" s="48"/>
      <c r="I60" s="106"/>
      <c r="J60" s="50">
        <v>0.996</v>
      </c>
      <c r="K60" s="202"/>
      <c r="L60" s="202"/>
      <c r="M60" s="202"/>
      <c r="N60" s="202"/>
      <c r="O60" s="202"/>
      <c r="P60" s="207"/>
      <c r="Q60" s="103"/>
      <c r="R60" s="103"/>
      <c r="S60" s="103"/>
      <c r="T60" s="103"/>
      <c r="U60" s="103"/>
    </row>
    <row r="61" spans="1:21" s="105" customFormat="1" ht="13.5" customHeight="1" x14ac:dyDescent="0.25">
      <c r="A61" s="103"/>
      <c r="B61" s="222"/>
      <c r="C61" s="202"/>
      <c r="D61" s="202"/>
      <c r="E61" s="202"/>
      <c r="F61" s="46" t="s">
        <v>79</v>
      </c>
      <c r="G61" s="47">
        <f t="shared" ref="G61" si="42">+E59*0.4</f>
        <v>0.27280000000000004</v>
      </c>
      <c r="H61" s="48"/>
      <c r="I61" s="106"/>
      <c r="J61" s="50">
        <v>1.0409999999999999</v>
      </c>
      <c r="K61" s="202"/>
      <c r="L61" s="202"/>
      <c r="M61" s="202"/>
      <c r="N61" s="202"/>
      <c r="O61" s="202"/>
      <c r="P61" s="207"/>
      <c r="Q61" s="103"/>
      <c r="R61" s="103"/>
      <c r="S61" s="103"/>
      <c r="T61" s="103"/>
      <c r="U61" s="103"/>
    </row>
    <row r="62" spans="1:21" s="105" customFormat="1" ht="13.5" customHeight="1" x14ac:dyDescent="0.25">
      <c r="A62" s="103"/>
      <c r="B62" s="222"/>
      <c r="C62" s="202"/>
      <c r="D62" s="202"/>
      <c r="E62" s="202"/>
      <c r="F62" s="46" t="s">
        <v>80</v>
      </c>
      <c r="G62" s="47">
        <f t="shared" ref="G62" si="43">IF(E59&lt;0.125,"NA",IF(0.125&lt;=E59,(0.8*E59)))</f>
        <v>0.54560000000000008</v>
      </c>
      <c r="H62" s="48"/>
      <c r="I62" s="106"/>
      <c r="J62" s="50">
        <v>1.054</v>
      </c>
      <c r="K62" s="202"/>
      <c r="L62" s="202"/>
      <c r="M62" s="202"/>
      <c r="N62" s="202"/>
      <c r="O62" s="202"/>
      <c r="P62" s="207"/>
      <c r="Q62" s="103"/>
      <c r="R62" s="103"/>
      <c r="S62" s="103"/>
      <c r="T62" s="103"/>
      <c r="U62" s="103"/>
    </row>
    <row r="63" spans="1:21" s="105" customFormat="1" ht="13.5" customHeight="1" thickBot="1" x14ac:dyDescent="0.3">
      <c r="A63" s="103"/>
      <c r="B63" s="223"/>
      <c r="C63" s="203"/>
      <c r="D63" s="203"/>
      <c r="E63" s="203"/>
      <c r="F63" s="51" t="s">
        <v>81</v>
      </c>
      <c r="G63" s="52">
        <f t="shared" ref="G63" si="44">+E59</f>
        <v>0.68200000000000005</v>
      </c>
      <c r="H63" s="53"/>
      <c r="I63" s="107"/>
      <c r="J63" s="55">
        <v>1.1439999999999999</v>
      </c>
      <c r="K63" s="203"/>
      <c r="L63" s="203"/>
      <c r="M63" s="203"/>
      <c r="N63" s="203"/>
      <c r="O63" s="203"/>
      <c r="P63" s="208"/>
      <c r="Q63" s="103"/>
      <c r="R63" s="103"/>
      <c r="S63" s="103"/>
      <c r="T63" s="103"/>
      <c r="U63" s="103"/>
    </row>
    <row r="64" spans="1:21" s="105" customFormat="1" ht="13.5" customHeight="1" x14ac:dyDescent="0.25">
      <c r="A64" s="103"/>
      <c r="B64" s="309">
        <v>10</v>
      </c>
      <c r="C64" s="224">
        <f t="shared" ref="C64" si="45">+C59+$N$12</f>
        <v>11.530000000000001</v>
      </c>
      <c r="D64" s="201">
        <v>0.60199999999999998</v>
      </c>
      <c r="E64" s="201">
        <v>0.60399999999999998</v>
      </c>
      <c r="F64" s="41" t="s">
        <v>77</v>
      </c>
      <c r="G64" s="42">
        <v>0</v>
      </c>
      <c r="H64" s="43"/>
      <c r="I64" s="104"/>
      <c r="J64" s="45">
        <v>0.621</v>
      </c>
      <c r="K64" s="201">
        <f t="shared" ref="K64" si="46">+IF(E64&lt;=0.12,(J66),(IF(E64&lt;0.16,((J65+2*J66+J67)/4),IF(E64&gt;=0.16,((J64+3*J65+2*J66+3*J67+J68)/10)))))</f>
        <v>0.88030000000000008</v>
      </c>
      <c r="L64" s="201">
        <f>ROUND(+(D59+D64)/2*(C64-C59),3)</f>
        <v>0.61799999999999999</v>
      </c>
      <c r="M64" s="201">
        <f t="shared" ref="M64" si="47">ROUND(+K64*L64,4)</f>
        <v>0.54400000000000004</v>
      </c>
      <c r="N64" s="204">
        <f t="shared" ref="N64" si="48">ROUND(+M64/$M$128*100,2)</f>
        <v>6.52</v>
      </c>
      <c r="O64" s="205"/>
      <c r="P64" s="206"/>
      <c r="Q64" s="103"/>
      <c r="R64" s="103"/>
      <c r="S64" s="103"/>
      <c r="T64" s="103"/>
      <c r="U64" s="103"/>
    </row>
    <row r="65" spans="1:21" s="105" customFormat="1" ht="13.5" customHeight="1" x14ac:dyDescent="0.25">
      <c r="A65" s="103"/>
      <c r="B65" s="222"/>
      <c r="C65" s="202"/>
      <c r="D65" s="202"/>
      <c r="E65" s="202"/>
      <c r="F65" s="46" t="s">
        <v>78</v>
      </c>
      <c r="G65" s="47">
        <f t="shared" ref="G65" si="49">IF(E64&lt;0.125,"NA",IF(0.125&lt;=E64,(0.2*E64)))</f>
        <v>0.1208</v>
      </c>
      <c r="H65" s="48"/>
      <c r="I65" s="106"/>
      <c r="J65" s="50">
        <v>0.73899999999999999</v>
      </c>
      <c r="K65" s="202"/>
      <c r="L65" s="202"/>
      <c r="M65" s="202"/>
      <c r="N65" s="202"/>
      <c r="O65" s="202"/>
      <c r="P65" s="207"/>
      <c r="Q65" s="103"/>
      <c r="R65" s="103"/>
      <c r="S65" s="103"/>
      <c r="T65" s="103"/>
      <c r="U65" s="103"/>
    </row>
    <row r="66" spans="1:21" s="105" customFormat="1" ht="13.5" customHeight="1" x14ac:dyDescent="0.25">
      <c r="A66" s="103"/>
      <c r="B66" s="222"/>
      <c r="C66" s="202"/>
      <c r="D66" s="202"/>
      <c r="E66" s="202"/>
      <c r="F66" s="46" t="s">
        <v>79</v>
      </c>
      <c r="G66" s="47">
        <f t="shared" ref="G66" si="50">+E64*0.4</f>
        <v>0.24160000000000001</v>
      </c>
      <c r="H66" s="48"/>
      <c r="I66" s="106"/>
      <c r="J66" s="50">
        <v>0.89300000000000002</v>
      </c>
      <c r="K66" s="202"/>
      <c r="L66" s="202"/>
      <c r="M66" s="202"/>
      <c r="N66" s="202"/>
      <c r="O66" s="202"/>
      <c r="P66" s="207"/>
      <c r="Q66" s="103"/>
      <c r="R66" s="103"/>
      <c r="S66" s="103"/>
      <c r="T66" s="103"/>
      <c r="U66" s="103"/>
    </row>
    <row r="67" spans="1:21" s="105" customFormat="1" ht="13.5" customHeight="1" x14ac:dyDescent="0.25">
      <c r="A67" s="103"/>
      <c r="B67" s="222"/>
      <c r="C67" s="202"/>
      <c r="D67" s="202"/>
      <c r="E67" s="202"/>
      <c r="F67" s="46" t="s">
        <v>80</v>
      </c>
      <c r="G67" s="47">
        <f t="shared" ref="G67" si="51">IF(E64&lt;0.125,"NA",IF(0.125&lt;=E64,(0.8*E64)))</f>
        <v>0.48320000000000002</v>
      </c>
      <c r="H67" s="48"/>
      <c r="I67" s="106"/>
      <c r="J67" s="50">
        <v>1.0129999999999999</v>
      </c>
      <c r="K67" s="202"/>
      <c r="L67" s="202"/>
      <c r="M67" s="202"/>
      <c r="N67" s="202"/>
      <c r="O67" s="202"/>
      <c r="P67" s="207"/>
      <c r="Q67" s="103"/>
      <c r="R67" s="103"/>
      <c r="S67" s="103"/>
      <c r="T67" s="103"/>
      <c r="U67" s="103"/>
    </row>
    <row r="68" spans="1:21" s="105" customFormat="1" ht="13.5" customHeight="1" thickBot="1" x14ac:dyDescent="0.3">
      <c r="A68" s="103"/>
      <c r="B68" s="223"/>
      <c r="C68" s="203"/>
      <c r="D68" s="203"/>
      <c r="E68" s="203"/>
      <c r="F68" s="51" t="s">
        <v>81</v>
      </c>
      <c r="G68" s="52">
        <f t="shared" ref="G68" si="52">+E64</f>
        <v>0.60399999999999998</v>
      </c>
      <c r="H68" s="53"/>
      <c r="I68" s="107"/>
      <c r="J68" s="55">
        <v>1.1399999999999999</v>
      </c>
      <c r="K68" s="203"/>
      <c r="L68" s="203"/>
      <c r="M68" s="203"/>
      <c r="N68" s="203"/>
      <c r="O68" s="203"/>
      <c r="P68" s="208"/>
      <c r="Q68" s="103"/>
      <c r="R68" s="103"/>
      <c r="S68" s="103"/>
      <c r="T68" s="103"/>
      <c r="U68" s="103"/>
    </row>
    <row r="69" spans="1:21" s="105" customFormat="1" ht="13.5" customHeight="1" x14ac:dyDescent="0.25">
      <c r="A69" s="103"/>
      <c r="B69" s="309">
        <v>11</v>
      </c>
      <c r="C69" s="224">
        <f>+C64+$N$12</f>
        <v>12.530000000000001</v>
      </c>
      <c r="D69" s="201">
        <v>0.55300000000000005</v>
      </c>
      <c r="E69" s="201">
        <v>0.55300000000000005</v>
      </c>
      <c r="F69" s="41" t="s">
        <v>77</v>
      </c>
      <c r="G69" s="42">
        <v>0</v>
      </c>
      <c r="H69" s="43"/>
      <c r="I69" s="104"/>
      <c r="J69" s="45">
        <v>0.57399999999999995</v>
      </c>
      <c r="K69" s="201">
        <f t="shared" ref="K69" si="53">+IF(E69&lt;=0.12,(J71),(IF(E69&lt;0.16,((J70+2*J71+J72)/4),IF(E69&gt;=0.16,((J69+3*J70+2*J71+3*J72+J73)/10)))))</f>
        <v>0.93689999999999996</v>
      </c>
      <c r="L69" s="201">
        <f>ROUND(+(D64+D69)/2*(C69-C64),3)</f>
        <v>0.57799999999999996</v>
      </c>
      <c r="M69" s="201">
        <f t="shared" ref="M69" si="54">ROUND(+K69*L69,4)</f>
        <v>0.54149999999999998</v>
      </c>
      <c r="N69" s="204">
        <f t="shared" ref="N69" si="55">ROUND(+M69/$M$128*100,2)</f>
        <v>6.49</v>
      </c>
      <c r="O69" s="205"/>
      <c r="P69" s="206"/>
      <c r="Q69" s="103"/>
      <c r="R69" s="103"/>
      <c r="S69" s="103"/>
      <c r="T69" s="103"/>
      <c r="U69" s="103"/>
    </row>
    <row r="70" spans="1:21" s="105" customFormat="1" ht="13.5" customHeight="1" x14ac:dyDescent="0.25">
      <c r="A70" s="103"/>
      <c r="B70" s="222"/>
      <c r="C70" s="202"/>
      <c r="D70" s="202"/>
      <c r="E70" s="202"/>
      <c r="F70" s="46" t="s">
        <v>78</v>
      </c>
      <c r="G70" s="47">
        <f t="shared" ref="G70" si="56">IF(E69&lt;0.125,"NA",IF(0.125&lt;=E69,(0.2*E69)))</f>
        <v>0.11060000000000002</v>
      </c>
      <c r="H70" s="48"/>
      <c r="I70" s="106"/>
      <c r="J70" s="50">
        <v>0.86099999999999999</v>
      </c>
      <c r="K70" s="202"/>
      <c r="L70" s="202"/>
      <c r="M70" s="202"/>
      <c r="N70" s="202"/>
      <c r="O70" s="202"/>
      <c r="P70" s="207"/>
      <c r="Q70" s="103"/>
      <c r="R70" s="103"/>
      <c r="S70" s="103"/>
      <c r="T70" s="103"/>
      <c r="U70" s="103"/>
    </row>
    <row r="71" spans="1:21" s="105" customFormat="1" ht="13.5" customHeight="1" x14ac:dyDescent="0.25">
      <c r="A71" s="103"/>
      <c r="B71" s="222"/>
      <c r="C71" s="202"/>
      <c r="D71" s="202"/>
      <c r="E71" s="202"/>
      <c r="F71" s="46" t="s">
        <v>79</v>
      </c>
      <c r="G71" s="47">
        <f t="shared" ref="G71" si="57">+E69*0.4</f>
        <v>0.22120000000000004</v>
      </c>
      <c r="H71" s="48"/>
      <c r="I71" s="106"/>
      <c r="J71" s="50">
        <v>0.90200000000000002</v>
      </c>
      <c r="K71" s="202"/>
      <c r="L71" s="202"/>
      <c r="M71" s="202"/>
      <c r="N71" s="202"/>
      <c r="O71" s="202"/>
      <c r="P71" s="207"/>
      <c r="Q71" s="103"/>
      <c r="R71" s="103"/>
      <c r="S71" s="103"/>
      <c r="T71" s="103"/>
      <c r="U71" s="103"/>
    </row>
    <row r="72" spans="1:21" s="105" customFormat="1" ht="13.5" customHeight="1" x14ac:dyDescent="0.25">
      <c r="A72" s="103"/>
      <c r="B72" s="222"/>
      <c r="C72" s="202"/>
      <c r="D72" s="202"/>
      <c r="E72" s="202"/>
      <c r="F72" s="46" t="s">
        <v>80</v>
      </c>
      <c r="G72" s="47">
        <f t="shared" ref="G72" si="58">IF(E69&lt;0.125,"NA",IF(0.125&lt;=E69,(0.8*E69)))</f>
        <v>0.44240000000000007</v>
      </c>
      <c r="H72" s="48"/>
      <c r="I72" s="106"/>
      <c r="J72" s="50">
        <v>1.073</v>
      </c>
      <c r="K72" s="202"/>
      <c r="L72" s="202"/>
      <c r="M72" s="202"/>
      <c r="N72" s="202"/>
      <c r="O72" s="202"/>
      <c r="P72" s="207"/>
      <c r="Q72" s="103"/>
      <c r="R72" s="103"/>
      <c r="S72" s="103"/>
      <c r="T72" s="103"/>
      <c r="U72" s="103"/>
    </row>
    <row r="73" spans="1:21" s="105" customFormat="1" ht="13.5" customHeight="1" thickBot="1" x14ac:dyDescent="0.3">
      <c r="A73" s="103"/>
      <c r="B73" s="223"/>
      <c r="C73" s="203"/>
      <c r="D73" s="203"/>
      <c r="E73" s="203"/>
      <c r="F73" s="51" t="s">
        <v>81</v>
      </c>
      <c r="G73" s="52">
        <f t="shared" ref="G73" si="59">+E69</f>
        <v>0.55300000000000005</v>
      </c>
      <c r="H73" s="53"/>
      <c r="I73" s="107"/>
      <c r="J73" s="55">
        <v>1.1890000000000001</v>
      </c>
      <c r="K73" s="203"/>
      <c r="L73" s="203"/>
      <c r="M73" s="203"/>
      <c r="N73" s="203"/>
      <c r="O73" s="203"/>
      <c r="P73" s="208"/>
      <c r="Q73" s="103"/>
      <c r="R73" s="103"/>
      <c r="S73" s="103"/>
      <c r="T73" s="103"/>
      <c r="U73" s="103"/>
    </row>
    <row r="74" spans="1:21" s="105" customFormat="1" ht="13.5" customHeight="1" x14ac:dyDescent="0.25">
      <c r="A74" s="103"/>
      <c r="B74" s="309">
        <v>12</v>
      </c>
      <c r="C74" s="224">
        <f t="shared" ref="C74" si="60">+C69+$N$12</f>
        <v>13.530000000000001</v>
      </c>
      <c r="D74" s="201">
        <v>0.57299999999999995</v>
      </c>
      <c r="E74" s="201">
        <v>0.55400000000000005</v>
      </c>
      <c r="F74" s="41" t="s">
        <v>77</v>
      </c>
      <c r="G74" s="42">
        <v>0</v>
      </c>
      <c r="H74" s="43"/>
      <c r="I74" s="104"/>
      <c r="J74" s="45">
        <v>0.57799999999999996</v>
      </c>
      <c r="K74" s="201">
        <f t="shared" ref="K74" si="61">+IF(E74&lt;=0.12,(J76),(IF(E74&lt;0.16,((J75+2*J76+J77)/4),IF(E74&gt;=0.16,((J74+3*J75+2*J76+3*J77+J78)/10)))))</f>
        <v>0.76419999999999999</v>
      </c>
      <c r="L74" s="201">
        <f>ROUND(+(D69+D74)/2*(C74-C69),3)</f>
        <v>0.56299999999999994</v>
      </c>
      <c r="M74" s="201">
        <f t="shared" ref="M74" si="62">ROUND(+K74*L74,4)</f>
        <v>0.43020000000000003</v>
      </c>
      <c r="N74" s="204">
        <f t="shared" ref="N74" si="63">ROUND(+M74/$M$128*100,2)</f>
        <v>5.16</v>
      </c>
      <c r="O74" s="205"/>
      <c r="P74" s="206"/>
      <c r="Q74" s="103"/>
      <c r="R74" s="103"/>
      <c r="S74" s="103"/>
      <c r="T74" s="103"/>
      <c r="U74" s="103"/>
    </row>
    <row r="75" spans="1:21" s="105" customFormat="1" ht="13.5" customHeight="1" x14ac:dyDescent="0.25">
      <c r="A75" s="103"/>
      <c r="B75" s="222"/>
      <c r="C75" s="202"/>
      <c r="D75" s="202"/>
      <c r="E75" s="202"/>
      <c r="F75" s="46" t="s">
        <v>78</v>
      </c>
      <c r="G75" s="47">
        <f t="shared" ref="G75" si="64">IF(E74&lt;0.125,"NA",IF(0.125&lt;=E74,(0.2*E74)))</f>
        <v>0.11080000000000001</v>
      </c>
      <c r="H75" s="48"/>
      <c r="I75" s="106"/>
      <c r="J75" s="50">
        <v>0.59599999999999997</v>
      </c>
      <c r="K75" s="202"/>
      <c r="L75" s="202"/>
      <c r="M75" s="202"/>
      <c r="N75" s="202"/>
      <c r="O75" s="202"/>
      <c r="P75" s="207"/>
      <c r="Q75" s="103"/>
      <c r="R75" s="103"/>
      <c r="S75" s="103"/>
      <c r="T75" s="103"/>
      <c r="U75" s="103"/>
    </row>
    <row r="76" spans="1:21" s="105" customFormat="1" ht="13.5" customHeight="1" x14ac:dyDescent="0.25">
      <c r="A76" s="103"/>
      <c r="B76" s="222"/>
      <c r="C76" s="202"/>
      <c r="D76" s="202"/>
      <c r="E76" s="202"/>
      <c r="F76" s="46" t="s">
        <v>79</v>
      </c>
      <c r="G76" s="47">
        <f t="shared" ref="G76" si="65">+E74*0.4</f>
        <v>0.22160000000000002</v>
      </c>
      <c r="H76" s="48"/>
      <c r="I76" s="106"/>
      <c r="J76" s="50">
        <v>0.60899999999999999</v>
      </c>
      <c r="K76" s="202"/>
      <c r="L76" s="202"/>
      <c r="M76" s="202"/>
      <c r="N76" s="202"/>
      <c r="O76" s="202"/>
      <c r="P76" s="207"/>
      <c r="Q76" s="103"/>
      <c r="R76" s="103"/>
      <c r="S76" s="103"/>
      <c r="T76" s="103"/>
      <c r="U76" s="103"/>
    </row>
    <row r="77" spans="1:21" s="105" customFormat="1" ht="13.5" customHeight="1" x14ac:dyDescent="0.25">
      <c r="A77" s="103"/>
      <c r="B77" s="222"/>
      <c r="C77" s="202"/>
      <c r="D77" s="202"/>
      <c r="E77" s="202"/>
      <c r="F77" s="46" t="s">
        <v>80</v>
      </c>
      <c r="G77" s="47">
        <f t="shared" ref="G77" si="66">IF(E74&lt;0.125,"NA",IF(0.125&lt;=E74,(0.8*E74)))</f>
        <v>0.44320000000000004</v>
      </c>
      <c r="H77" s="48"/>
      <c r="I77" s="106"/>
      <c r="J77" s="50">
        <v>0.98699999999999999</v>
      </c>
      <c r="K77" s="202"/>
      <c r="L77" s="202"/>
      <c r="M77" s="202"/>
      <c r="N77" s="202"/>
      <c r="O77" s="202"/>
      <c r="P77" s="207"/>
      <c r="Q77" s="103"/>
      <c r="R77" s="103"/>
      <c r="S77" s="103"/>
      <c r="T77" s="103"/>
      <c r="U77" s="103"/>
    </row>
    <row r="78" spans="1:21" s="105" customFormat="1" ht="13.5" customHeight="1" thickBot="1" x14ac:dyDescent="0.3">
      <c r="A78" s="103"/>
      <c r="B78" s="223"/>
      <c r="C78" s="203"/>
      <c r="D78" s="203"/>
      <c r="E78" s="203"/>
      <c r="F78" s="51" t="s">
        <v>81</v>
      </c>
      <c r="G78" s="52">
        <f t="shared" ref="G78" si="67">+E74</f>
        <v>0.55400000000000005</v>
      </c>
      <c r="H78" s="53"/>
      <c r="I78" s="107"/>
      <c r="J78" s="55">
        <v>1.097</v>
      </c>
      <c r="K78" s="203"/>
      <c r="L78" s="203"/>
      <c r="M78" s="203"/>
      <c r="N78" s="203"/>
      <c r="O78" s="203"/>
      <c r="P78" s="208"/>
      <c r="Q78" s="103"/>
      <c r="R78" s="103"/>
      <c r="S78" s="103"/>
      <c r="T78" s="103"/>
      <c r="U78" s="103"/>
    </row>
    <row r="79" spans="1:21" s="105" customFormat="1" ht="13.5" customHeight="1" x14ac:dyDescent="0.25">
      <c r="A79" s="103"/>
      <c r="B79" s="309">
        <v>13</v>
      </c>
      <c r="C79" s="224">
        <f t="shared" ref="C79:C99" si="68">+C74+$N$12</f>
        <v>14.530000000000001</v>
      </c>
      <c r="D79" s="201">
        <v>0.60499999999999998</v>
      </c>
      <c r="E79" s="201">
        <v>0.57399999999999995</v>
      </c>
      <c r="F79" s="41" t="s">
        <v>77</v>
      </c>
      <c r="G79" s="42">
        <v>0</v>
      </c>
      <c r="H79" s="43"/>
      <c r="I79" s="104"/>
      <c r="J79" s="45">
        <v>0.81100000000000005</v>
      </c>
      <c r="K79" s="201">
        <f>+IF(E79&lt;=0.12,(J81),(IF(E79&lt;0.16,((J80+2*J81+J82)/4),IF(E79&gt;=0.16,((J79+3*J80+2*J81+3*J82+J83)/10)))))</f>
        <v>1.0537000000000001</v>
      </c>
      <c r="L79" s="201">
        <f>ROUND(+(D74+D79)/2*(C79-C74),3)</f>
        <v>0.58899999999999997</v>
      </c>
      <c r="M79" s="201">
        <f>ROUND(+K79*L79,4)</f>
        <v>0.62060000000000004</v>
      </c>
      <c r="N79" s="204">
        <f>ROUND(+M79/$M$128*100,2)</f>
        <v>7.44</v>
      </c>
      <c r="O79" s="205"/>
      <c r="P79" s="206"/>
      <c r="Q79" s="103"/>
      <c r="R79" s="103"/>
      <c r="S79" s="103"/>
      <c r="T79" s="103"/>
      <c r="U79" s="103"/>
    </row>
    <row r="80" spans="1:21" s="105" customFormat="1" ht="13.5" customHeight="1" x14ac:dyDescent="0.25">
      <c r="A80" s="103"/>
      <c r="B80" s="222"/>
      <c r="C80" s="202"/>
      <c r="D80" s="202"/>
      <c r="E80" s="202"/>
      <c r="F80" s="46" t="s">
        <v>78</v>
      </c>
      <c r="G80" s="47">
        <f t="shared" ref="G80" si="69">IF(E79&lt;0.125,"NA",IF(0.125&lt;=E79,(0.2*E79)))</f>
        <v>0.1148</v>
      </c>
      <c r="H80" s="48"/>
      <c r="I80" s="106"/>
      <c r="J80" s="50">
        <v>1.032</v>
      </c>
      <c r="K80" s="202"/>
      <c r="L80" s="202"/>
      <c r="M80" s="202"/>
      <c r="N80" s="202"/>
      <c r="O80" s="202"/>
      <c r="P80" s="207"/>
      <c r="Q80" s="103"/>
      <c r="R80" s="103"/>
      <c r="S80" s="103"/>
      <c r="T80" s="103"/>
      <c r="U80" s="103"/>
    </row>
    <row r="81" spans="1:21" s="105" customFormat="1" ht="13.5" customHeight="1" x14ac:dyDescent="0.25">
      <c r="A81" s="103"/>
      <c r="B81" s="222"/>
      <c r="C81" s="202"/>
      <c r="D81" s="202"/>
      <c r="E81" s="202"/>
      <c r="F81" s="46" t="s">
        <v>79</v>
      </c>
      <c r="G81" s="47">
        <f t="shared" ref="G81" si="70">+E79*0.4</f>
        <v>0.2296</v>
      </c>
      <c r="H81" s="48"/>
      <c r="I81" s="106"/>
      <c r="J81" s="50">
        <v>1.085</v>
      </c>
      <c r="K81" s="202"/>
      <c r="L81" s="202"/>
      <c r="M81" s="202"/>
      <c r="N81" s="202"/>
      <c r="O81" s="202"/>
      <c r="P81" s="207"/>
      <c r="Q81" s="103"/>
      <c r="R81" s="103"/>
      <c r="S81" s="103"/>
      <c r="T81" s="103"/>
      <c r="U81" s="103"/>
    </row>
    <row r="82" spans="1:21" s="105" customFormat="1" ht="13.5" customHeight="1" x14ac:dyDescent="0.25">
      <c r="A82" s="103"/>
      <c r="B82" s="222"/>
      <c r="C82" s="202"/>
      <c r="D82" s="202"/>
      <c r="E82" s="202"/>
      <c r="F82" s="46" t="s">
        <v>80</v>
      </c>
      <c r="G82" s="47">
        <f t="shared" ref="G82" si="71">IF(E79&lt;0.125,"NA",IF(0.125&lt;=E79,(0.8*E79)))</f>
        <v>0.4592</v>
      </c>
      <c r="H82" s="48"/>
      <c r="I82" s="106"/>
      <c r="J82" s="50">
        <v>1.1160000000000001</v>
      </c>
      <c r="K82" s="202"/>
      <c r="L82" s="202"/>
      <c r="M82" s="202"/>
      <c r="N82" s="202"/>
      <c r="O82" s="202"/>
      <c r="P82" s="207"/>
      <c r="Q82" s="103"/>
      <c r="R82" s="103"/>
      <c r="S82" s="103"/>
      <c r="T82" s="103"/>
      <c r="U82" s="103"/>
    </row>
    <row r="83" spans="1:21" s="105" customFormat="1" ht="13.5" customHeight="1" thickBot="1" x14ac:dyDescent="0.3">
      <c r="A83" s="103"/>
      <c r="B83" s="223"/>
      <c r="C83" s="203"/>
      <c r="D83" s="203"/>
      <c r="E83" s="203"/>
      <c r="F83" s="51" t="s">
        <v>81</v>
      </c>
      <c r="G83" s="52">
        <f t="shared" ref="G83" si="72">+E79</f>
        <v>0.57399999999999995</v>
      </c>
      <c r="H83" s="53"/>
      <c r="I83" s="107"/>
      <c r="J83" s="55">
        <v>1.1120000000000001</v>
      </c>
      <c r="K83" s="203"/>
      <c r="L83" s="203"/>
      <c r="M83" s="203"/>
      <c r="N83" s="203"/>
      <c r="O83" s="203"/>
      <c r="P83" s="208"/>
      <c r="Q83" s="103"/>
      <c r="R83" s="103"/>
      <c r="S83" s="103"/>
      <c r="T83" s="103"/>
      <c r="U83" s="103"/>
    </row>
    <row r="84" spans="1:21" s="105" customFormat="1" ht="13.5" customHeight="1" x14ac:dyDescent="0.25">
      <c r="A84" s="103"/>
      <c r="B84" s="309">
        <v>14</v>
      </c>
      <c r="C84" s="224">
        <f t="shared" si="68"/>
        <v>15.530000000000001</v>
      </c>
      <c r="D84" s="201">
        <v>0.70199999999999996</v>
      </c>
      <c r="E84" s="201">
        <v>0.66400000000000003</v>
      </c>
      <c r="F84" s="41" t="s">
        <v>77</v>
      </c>
      <c r="G84" s="42">
        <v>0</v>
      </c>
      <c r="H84" s="43"/>
      <c r="I84" s="104"/>
      <c r="J84" s="45">
        <v>0.71399999999999997</v>
      </c>
      <c r="K84" s="201">
        <f>+IF(E84&lt;=0.12,(J86),(IF(E84&lt;0.16,((J85+2*J86+J87)/4),IF(E84&gt;=0.16,((J84+3*J85+2*J86+3*J87+J88)/10)))))</f>
        <v>1.1012</v>
      </c>
      <c r="L84" s="201">
        <f>ROUND(+(D79+D84)/2*(C84-C79),3)</f>
        <v>0.65400000000000003</v>
      </c>
      <c r="M84" s="201">
        <f>ROUND(+K84*L84,4)</f>
        <v>0.72019999999999995</v>
      </c>
      <c r="N84" s="204">
        <f>ROUND(+M84/$M$128*100,2)</f>
        <v>8.6300000000000008</v>
      </c>
      <c r="O84" s="205"/>
      <c r="P84" s="206"/>
      <c r="Q84" s="103"/>
      <c r="R84" s="103"/>
      <c r="S84" s="103"/>
      <c r="T84" s="103"/>
      <c r="U84" s="103"/>
    </row>
    <row r="85" spans="1:21" s="105" customFormat="1" ht="13.5" customHeight="1" x14ac:dyDescent="0.25">
      <c r="A85" s="103"/>
      <c r="B85" s="222"/>
      <c r="C85" s="202"/>
      <c r="D85" s="202"/>
      <c r="E85" s="202"/>
      <c r="F85" s="46" t="s">
        <v>78</v>
      </c>
      <c r="G85" s="47">
        <f t="shared" ref="G85" si="73">IF(E84&lt;0.125,"NA",IF(0.125&lt;=E84,(0.2*E84)))</f>
        <v>0.1328</v>
      </c>
      <c r="H85" s="48"/>
      <c r="I85" s="106"/>
      <c r="J85" s="50">
        <v>1.002</v>
      </c>
      <c r="K85" s="202"/>
      <c r="L85" s="202"/>
      <c r="M85" s="202"/>
      <c r="N85" s="202"/>
      <c r="O85" s="202"/>
      <c r="P85" s="207"/>
      <c r="Q85" s="103"/>
      <c r="R85" s="103"/>
      <c r="S85" s="103"/>
      <c r="T85" s="103"/>
      <c r="U85" s="103"/>
    </row>
    <row r="86" spans="1:21" s="105" customFormat="1" ht="13.5" customHeight="1" x14ac:dyDescent="0.25">
      <c r="A86" s="103"/>
      <c r="B86" s="222"/>
      <c r="C86" s="202"/>
      <c r="D86" s="202"/>
      <c r="E86" s="202"/>
      <c r="F86" s="46" t="s">
        <v>79</v>
      </c>
      <c r="G86" s="47">
        <f t="shared" ref="G86" si="74">+E84*0.4</f>
        <v>0.2656</v>
      </c>
      <c r="H86" s="48"/>
      <c r="I86" s="106"/>
      <c r="J86" s="50">
        <v>1.1910000000000001</v>
      </c>
      <c r="K86" s="202"/>
      <c r="L86" s="202"/>
      <c r="M86" s="202"/>
      <c r="N86" s="202"/>
      <c r="O86" s="202"/>
      <c r="P86" s="207"/>
      <c r="Q86" s="103"/>
      <c r="R86" s="103"/>
      <c r="S86" s="103"/>
      <c r="T86" s="103"/>
      <c r="U86" s="103"/>
    </row>
    <row r="87" spans="1:21" s="105" customFormat="1" ht="13.5" customHeight="1" x14ac:dyDescent="0.25">
      <c r="A87" s="103"/>
      <c r="B87" s="222"/>
      <c r="C87" s="202"/>
      <c r="D87" s="202"/>
      <c r="E87" s="202"/>
      <c r="F87" s="46" t="s">
        <v>80</v>
      </c>
      <c r="G87" s="47">
        <f t="shared" ref="G87" si="75">IF(E84&lt;0.125,"NA",IF(0.125&lt;=E84,(0.8*E84)))</f>
        <v>0.53120000000000001</v>
      </c>
      <c r="H87" s="48"/>
      <c r="I87" s="106"/>
      <c r="J87" s="50">
        <v>1.2230000000000001</v>
      </c>
      <c r="K87" s="202"/>
      <c r="L87" s="202"/>
      <c r="M87" s="202"/>
      <c r="N87" s="202"/>
      <c r="O87" s="202"/>
      <c r="P87" s="207"/>
      <c r="Q87" s="103"/>
      <c r="R87" s="103"/>
      <c r="S87" s="103"/>
      <c r="T87" s="103"/>
      <c r="U87" s="103"/>
    </row>
    <row r="88" spans="1:21" s="105" customFormat="1" ht="13.5" customHeight="1" thickBot="1" x14ac:dyDescent="0.3">
      <c r="A88" s="103"/>
      <c r="B88" s="223"/>
      <c r="C88" s="203"/>
      <c r="D88" s="203"/>
      <c r="E88" s="203"/>
      <c r="F88" s="51" t="s">
        <v>81</v>
      </c>
      <c r="G88" s="52">
        <f t="shared" ref="G88" si="76">+E84</f>
        <v>0.66400000000000003</v>
      </c>
      <c r="H88" s="53"/>
      <c r="I88" s="107"/>
      <c r="J88" s="55">
        <v>1.2410000000000001</v>
      </c>
      <c r="K88" s="203"/>
      <c r="L88" s="203"/>
      <c r="M88" s="203"/>
      <c r="N88" s="203"/>
      <c r="O88" s="203"/>
      <c r="P88" s="208"/>
      <c r="Q88" s="103"/>
      <c r="R88" s="103"/>
      <c r="S88" s="103"/>
      <c r="T88" s="103"/>
      <c r="U88" s="103"/>
    </row>
    <row r="89" spans="1:21" s="105" customFormat="1" ht="13.5" customHeight="1" x14ac:dyDescent="0.25">
      <c r="A89" s="103"/>
      <c r="B89" s="309">
        <v>15</v>
      </c>
      <c r="C89" s="224">
        <f t="shared" si="68"/>
        <v>16.53</v>
      </c>
      <c r="D89" s="201">
        <v>0.74099999999999999</v>
      </c>
      <c r="E89" s="201">
        <v>0.72099999999999997</v>
      </c>
      <c r="F89" s="41" t="s">
        <v>77</v>
      </c>
      <c r="G89" s="42">
        <v>0</v>
      </c>
      <c r="H89" s="43"/>
      <c r="I89" s="104"/>
      <c r="J89" s="45">
        <v>0.44900000000000001</v>
      </c>
      <c r="K89" s="201">
        <f>+IF(E89&lt;=0.12,(J91),(IF(E89&lt;0.16,((J90+2*J91+J92)/4),IF(E89&gt;=0.16,((J89+3*J90+2*J91+3*J92+J93)/10)))))</f>
        <v>0.80239999999999989</v>
      </c>
      <c r="L89" s="201">
        <f>ROUND(+(D84+D89)/2*(C89-C84),3)</f>
        <v>0.72199999999999998</v>
      </c>
      <c r="M89" s="201">
        <f>ROUND(+K89*L89,4)</f>
        <v>0.57930000000000004</v>
      </c>
      <c r="N89" s="204">
        <f>ROUND(+M89/$M$128*100,2)</f>
        <v>6.94</v>
      </c>
      <c r="O89" s="205"/>
      <c r="P89" s="206"/>
      <c r="Q89" s="103"/>
      <c r="R89" s="103"/>
      <c r="S89" s="103"/>
      <c r="T89" s="103"/>
      <c r="U89" s="103"/>
    </row>
    <row r="90" spans="1:21" s="105" customFormat="1" ht="13.5" customHeight="1" x14ac:dyDescent="0.25">
      <c r="A90" s="103"/>
      <c r="B90" s="222"/>
      <c r="C90" s="202"/>
      <c r="D90" s="202"/>
      <c r="E90" s="202"/>
      <c r="F90" s="46" t="s">
        <v>78</v>
      </c>
      <c r="G90" s="47">
        <f t="shared" ref="G90" si="77">IF(E89&lt;0.125,"NA",IF(0.125&lt;=E89,(0.2*E89)))</f>
        <v>0.14419999999999999</v>
      </c>
      <c r="H90" s="48"/>
      <c r="I90" s="106"/>
      <c r="J90" s="50">
        <v>0.97799999999999998</v>
      </c>
      <c r="K90" s="202"/>
      <c r="L90" s="202"/>
      <c r="M90" s="202"/>
      <c r="N90" s="202"/>
      <c r="O90" s="202"/>
      <c r="P90" s="207"/>
      <c r="Q90" s="103"/>
      <c r="R90" s="103"/>
      <c r="S90" s="103"/>
      <c r="T90" s="103"/>
      <c r="U90" s="103"/>
    </row>
    <row r="91" spans="1:21" s="105" customFormat="1" ht="13.5" customHeight="1" x14ac:dyDescent="0.25">
      <c r="A91" s="103"/>
      <c r="B91" s="222"/>
      <c r="C91" s="202"/>
      <c r="D91" s="202"/>
      <c r="E91" s="202"/>
      <c r="F91" s="46" t="s">
        <v>79</v>
      </c>
      <c r="G91" s="47">
        <f t="shared" ref="G91" si="78">+E89*0.4</f>
        <v>0.28839999999999999</v>
      </c>
      <c r="H91" s="48"/>
      <c r="I91" s="106"/>
      <c r="J91" s="50">
        <v>0.13</v>
      </c>
      <c r="K91" s="202"/>
      <c r="L91" s="202"/>
      <c r="M91" s="202"/>
      <c r="N91" s="202"/>
      <c r="O91" s="202"/>
      <c r="P91" s="207"/>
      <c r="Q91" s="103"/>
      <c r="R91" s="103"/>
      <c r="S91" s="103"/>
      <c r="T91" s="103"/>
      <c r="U91" s="103"/>
    </row>
    <row r="92" spans="1:21" s="105" customFormat="1" ht="13.5" customHeight="1" x14ac:dyDescent="0.25">
      <c r="A92" s="103"/>
      <c r="B92" s="222"/>
      <c r="C92" s="202"/>
      <c r="D92" s="202"/>
      <c r="E92" s="202"/>
      <c r="F92" s="46" t="s">
        <v>80</v>
      </c>
      <c r="G92" s="47">
        <f t="shared" ref="G92" si="79">IF(E89&lt;0.125,"NA",IF(0.125&lt;=E89,(0.8*E89)))</f>
        <v>0.57679999999999998</v>
      </c>
      <c r="H92" s="48"/>
      <c r="I92" s="106"/>
      <c r="J92" s="50">
        <v>1.0469999999999999</v>
      </c>
      <c r="K92" s="202"/>
      <c r="L92" s="202"/>
      <c r="M92" s="202"/>
      <c r="N92" s="202"/>
      <c r="O92" s="202"/>
      <c r="P92" s="207"/>
      <c r="Q92" s="103"/>
      <c r="R92" s="103"/>
      <c r="S92" s="103"/>
      <c r="T92" s="103"/>
      <c r="U92" s="103"/>
    </row>
    <row r="93" spans="1:21" s="105" customFormat="1" ht="13.5" customHeight="1" thickBot="1" x14ac:dyDescent="0.3">
      <c r="A93" s="103"/>
      <c r="B93" s="223"/>
      <c r="C93" s="203"/>
      <c r="D93" s="203"/>
      <c r="E93" s="203"/>
      <c r="F93" s="51" t="s">
        <v>81</v>
      </c>
      <c r="G93" s="52">
        <f t="shared" ref="G93" si="80">+E89</f>
        <v>0.72099999999999997</v>
      </c>
      <c r="H93" s="53"/>
      <c r="I93" s="107"/>
      <c r="J93" s="55">
        <v>1.24</v>
      </c>
      <c r="K93" s="203"/>
      <c r="L93" s="203"/>
      <c r="M93" s="203"/>
      <c r="N93" s="203"/>
      <c r="O93" s="203"/>
      <c r="P93" s="208"/>
      <c r="Q93" s="103"/>
      <c r="R93" s="103"/>
      <c r="S93" s="103"/>
      <c r="T93" s="103"/>
      <c r="U93" s="103"/>
    </row>
    <row r="94" spans="1:21" s="105" customFormat="1" ht="13.5" customHeight="1" x14ac:dyDescent="0.25">
      <c r="A94" s="103"/>
      <c r="B94" s="309">
        <v>16</v>
      </c>
      <c r="C94" s="224">
        <f t="shared" si="68"/>
        <v>17.53</v>
      </c>
      <c r="D94" s="201">
        <v>0.76300000000000001</v>
      </c>
      <c r="E94" s="201">
        <v>0.751</v>
      </c>
      <c r="F94" s="41" t="s">
        <v>77</v>
      </c>
      <c r="G94" s="42">
        <v>0</v>
      </c>
      <c r="H94" s="43"/>
      <c r="I94" s="104"/>
      <c r="J94" s="45">
        <v>0.53400000000000003</v>
      </c>
      <c r="K94" s="201">
        <f>+IF(E94&lt;=0.12,(J96),(IF(E94&lt;0.16,((J95+2*J96+J97)/4),IF(E94&gt;=0.16,((J94+3*J95+2*J96+3*J97+J98)/10)))))</f>
        <v>0.80840000000000001</v>
      </c>
      <c r="L94" s="201">
        <f>ROUND(+(D89+D94)/2*(C94-C89),3)</f>
        <v>0.752</v>
      </c>
      <c r="M94" s="201">
        <f>ROUND(+K94*L94,4)</f>
        <v>0.6079</v>
      </c>
      <c r="N94" s="204">
        <f>ROUND(+M94/$M$128*100,2)</f>
        <v>7.29</v>
      </c>
      <c r="O94" s="205"/>
      <c r="P94" s="206"/>
      <c r="Q94" s="103"/>
      <c r="R94" s="103"/>
      <c r="S94" s="103"/>
      <c r="T94" s="103"/>
      <c r="U94" s="103"/>
    </row>
    <row r="95" spans="1:21" s="105" customFormat="1" ht="13.5" customHeight="1" x14ac:dyDescent="0.25">
      <c r="A95" s="103"/>
      <c r="B95" s="222"/>
      <c r="C95" s="202"/>
      <c r="D95" s="202"/>
      <c r="E95" s="202"/>
      <c r="F95" s="46" t="s">
        <v>78</v>
      </c>
      <c r="G95" s="47">
        <f t="shared" ref="G95" si="81">IF(E94&lt;0.125,"NA",IF(0.125&lt;=E94,(0.2*E94)))</f>
        <v>0.1502</v>
      </c>
      <c r="H95" s="48"/>
      <c r="I95" s="106"/>
      <c r="J95" s="50">
        <v>0.75700000000000001</v>
      </c>
      <c r="K95" s="202"/>
      <c r="L95" s="202"/>
      <c r="M95" s="202"/>
      <c r="N95" s="202"/>
      <c r="O95" s="202"/>
      <c r="P95" s="207"/>
      <c r="Q95" s="103"/>
      <c r="R95" s="103"/>
      <c r="S95" s="103"/>
      <c r="T95" s="103"/>
      <c r="U95" s="103"/>
    </row>
    <row r="96" spans="1:21" s="105" customFormat="1" ht="13.5" customHeight="1" x14ac:dyDescent="0.25">
      <c r="A96" s="103"/>
      <c r="B96" s="222"/>
      <c r="C96" s="202"/>
      <c r="D96" s="202"/>
      <c r="E96" s="202"/>
      <c r="F96" s="46" t="s">
        <v>79</v>
      </c>
      <c r="G96" s="47">
        <f t="shared" ref="G96" si="82">+E94*0.4</f>
        <v>0.3004</v>
      </c>
      <c r="H96" s="48"/>
      <c r="I96" s="106"/>
      <c r="J96" s="50">
        <v>0.86299999999999999</v>
      </c>
      <c r="K96" s="202"/>
      <c r="L96" s="202"/>
      <c r="M96" s="202"/>
      <c r="N96" s="202"/>
      <c r="O96" s="202"/>
      <c r="P96" s="207"/>
      <c r="Q96" s="103"/>
      <c r="R96" s="103"/>
      <c r="S96" s="103"/>
      <c r="T96" s="103"/>
      <c r="U96" s="103"/>
    </row>
    <row r="97" spans="1:21" s="105" customFormat="1" ht="13.5" customHeight="1" x14ac:dyDescent="0.25">
      <c r="A97" s="103"/>
      <c r="B97" s="222"/>
      <c r="C97" s="202"/>
      <c r="D97" s="202"/>
      <c r="E97" s="202"/>
      <c r="F97" s="46" t="s">
        <v>80</v>
      </c>
      <c r="G97" s="47">
        <f t="shared" ref="G97" si="83">IF(E94&lt;0.125,"NA",IF(0.125&lt;=E94,(0.8*E94)))</f>
        <v>0.6008</v>
      </c>
      <c r="H97" s="48"/>
      <c r="I97" s="106"/>
      <c r="J97" s="50">
        <v>0.89</v>
      </c>
      <c r="K97" s="202"/>
      <c r="L97" s="202"/>
      <c r="M97" s="202"/>
      <c r="N97" s="202"/>
      <c r="O97" s="202"/>
      <c r="P97" s="207"/>
      <c r="Q97" s="103"/>
      <c r="R97" s="103"/>
      <c r="S97" s="103"/>
      <c r="T97" s="103"/>
      <c r="U97" s="103"/>
    </row>
    <row r="98" spans="1:21" s="105" customFormat="1" ht="13.5" customHeight="1" thickBot="1" x14ac:dyDescent="0.3">
      <c r="A98" s="103"/>
      <c r="B98" s="223"/>
      <c r="C98" s="203"/>
      <c r="D98" s="203"/>
      <c r="E98" s="203"/>
      <c r="F98" s="51" t="s">
        <v>81</v>
      </c>
      <c r="G98" s="52">
        <f t="shared" ref="G98" si="84">+E94</f>
        <v>0.751</v>
      </c>
      <c r="H98" s="53"/>
      <c r="I98" s="107"/>
      <c r="J98" s="55">
        <v>0.88300000000000001</v>
      </c>
      <c r="K98" s="203"/>
      <c r="L98" s="203"/>
      <c r="M98" s="203"/>
      <c r="N98" s="203"/>
      <c r="O98" s="203"/>
      <c r="P98" s="208"/>
      <c r="Q98" s="103"/>
      <c r="R98" s="103"/>
      <c r="S98" s="103"/>
      <c r="T98" s="103"/>
      <c r="U98" s="103"/>
    </row>
    <row r="99" spans="1:21" s="105" customFormat="1" ht="13.5" customHeight="1" x14ac:dyDescent="0.25">
      <c r="A99" s="103"/>
      <c r="B99" s="309">
        <v>17</v>
      </c>
      <c r="C99" s="224">
        <f t="shared" si="68"/>
        <v>18.53</v>
      </c>
      <c r="D99" s="201">
        <v>0.76300000000000001</v>
      </c>
      <c r="E99" s="201">
        <v>0.79900000000000004</v>
      </c>
      <c r="F99" s="41" t="s">
        <v>77</v>
      </c>
      <c r="G99" s="42">
        <v>0</v>
      </c>
      <c r="H99" s="43"/>
      <c r="I99" s="104"/>
      <c r="J99" s="45">
        <v>0.11899999999999999</v>
      </c>
      <c r="K99" s="201">
        <f>+IF(E99&lt;=0.12,(J101),(IF(E99&lt;0.16,((J100+2*J101+J102)/4),IF(E99&gt;=0.16,((J99+3*J100+2*J101+3*J102+J103)/10)))))</f>
        <v>0.47890000000000005</v>
      </c>
      <c r="L99" s="201">
        <f>ROUND(+(D94+D99)/2*(C99-C94),3)</f>
        <v>0.76300000000000001</v>
      </c>
      <c r="M99" s="201">
        <f>ROUND(+K99*L99,4)</f>
        <v>0.3654</v>
      </c>
      <c r="N99" s="204">
        <f>ROUND(+M99/$M$128*100,2)</f>
        <v>4.38</v>
      </c>
      <c r="O99" s="205"/>
      <c r="P99" s="206"/>
      <c r="Q99" s="103"/>
      <c r="R99" s="103"/>
      <c r="S99" s="103"/>
      <c r="T99" s="103"/>
      <c r="U99" s="103"/>
    </row>
    <row r="100" spans="1:21" s="105" customFormat="1" ht="13.5" customHeight="1" x14ac:dyDescent="0.25">
      <c r="A100" s="103"/>
      <c r="B100" s="222"/>
      <c r="C100" s="202"/>
      <c r="D100" s="202"/>
      <c r="E100" s="202"/>
      <c r="F100" s="46" t="s">
        <v>78</v>
      </c>
      <c r="G100" s="47">
        <f t="shared" ref="G100" si="85">IF(E99&lt;0.125,"NA",IF(0.125&lt;=E99,(0.2*E99)))</f>
        <v>0.15980000000000003</v>
      </c>
      <c r="H100" s="48"/>
      <c r="I100" s="106"/>
      <c r="J100" s="50">
        <v>0.44600000000000001</v>
      </c>
      <c r="K100" s="202"/>
      <c r="L100" s="202"/>
      <c r="M100" s="202"/>
      <c r="N100" s="202"/>
      <c r="O100" s="202"/>
      <c r="P100" s="207"/>
      <c r="Q100" s="103"/>
      <c r="R100" s="103"/>
      <c r="S100" s="103"/>
      <c r="T100" s="103"/>
      <c r="U100" s="103"/>
    </row>
    <row r="101" spans="1:21" s="105" customFormat="1" ht="13.5" customHeight="1" x14ac:dyDescent="0.25">
      <c r="A101" s="103"/>
      <c r="B101" s="222"/>
      <c r="C101" s="202"/>
      <c r="D101" s="202"/>
      <c r="E101" s="202"/>
      <c r="F101" s="46" t="s">
        <v>79</v>
      </c>
      <c r="G101" s="47">
        <f t="shared" ref="G101" si="86">+E99*0.4</f>
        <v>0.31960000000000005</v>
      </c>
      <c r="H101" s="48"/>
      <c r="I101" s="106"/>
      <c r="J101" s="50">
        <v>0.54900000000000004</v>
      </c>
      <c r="K101" s="202"/>
      <c r="L101" s="202"/>
      <c r="M101" s="202"/>
      <c r="N101" s="202"/>
      <c r="O101" s="202"/>
      <c r="P101" s="207"/>
      <c r="Q101" s="103"/>
      <c r="R101" s="103"/>
      <c r="S101" s="103"/>
      <c r="T101" s="103"/>
      <c r="U101" s="103"/>
    </row>
    <row r="102" spans="1:21" s="105" customFormat="1" ht="13.5" customHeight="1" x14ac:dyDescent="0.25">
      <c r="A102" s="103"/>
      <c r="B102" s="222"/>
      <c r="C102" s="202"/>
      <c r="D102" s="202"/>
      <c r="E102" s="202"/>
      <c r="F102" s="46" t="s">
        <v>80</v>
      </c>
      <c r="G102" s="47">
        <f t="shared" ref="G102" si="87">IF(E99&lt;0.125,"NA",IF(0.125&lt;=E99,(0.8*E99)))</f>
        <v>0.6392000000000001</v>
      </c>
      <c r="H102" s="48"/>
      <c r="I102" s="106"/>
      <c r="J102" s="50">
        <v>0.55300000000000005</v>
      </c>
      <c r="K102" s="202"/>
      <c r="L102" s="202"/>
      <c r="M102" s="202"/>
      <c r="N102" s="202"/>
      <c r="O102" s="202"/>
      <c r="P102" s="207"/>
      <c r="Q102" s="103"/>
      <c r="R102" s="103"/>
      <c r="S102" s="103"/>
      <c r="T102" s="103"/>
      <c r="U102" s="103"/>
    </row>
    <row r="103" spans="1:21" s="105" customFormat="1" ht="13.5" customHeight="1" thickBot="1" x14ac:dyDescent="0.3">
      <c r="A103" s="103"/>
      <c r="B103" s="223"/>
      <c r="C103" s="203"/>
      <c r="D103" s="203"/>
      <c r="E103" s="203"/>
      <c r="F103" s="51" t="s">
        <v>81</v>
      </c>
      <c r="G103" s="52">
        <f t="shared" ref="G103" si="88">+E99</f>
        <v>0.79900000000000004</v>
      </c>
      <c r="H103" s="53"/>
      <c r="I103" s="107"/>
      <c r="J103" s="55">
        <v>0.57499999999999996</v>
      </c>
      <c r="K103" s="203"/>
      <c r="L103" s="203"/>
      <c r="M103" s="203"/>
      <c r="N103" s="203"/>
      <c r="O103" s="203"/>
      <c r="P103" s="208"/>
      <c r="Q103" s="103"/>
      <c r="R103" s="103"/>
      <c r="S103" s="103"/>
      <c r="T103" s="103"/>
      <c r="U103" s="103"/>
    </row>
    <row r="104" spans="1:21" s="40" customFormat="1" ht="13.5" customHeight="1" x14ac:dyDescent="0.25">
      <c r="A104" s="32"/>
      <c r="B104" s="221">
        <v>18</v>
      </c>
      <c r="C104" s="224">
        <f>+C99+1</f>
        <v>19.53</v>
      </c>
      <c r="D104" s="201">
        <v>0</v>
      </c>
      <c r="E104" s="201">
        <v>0.221</v>
      </c>
      <c r="F104" s="41" t="s">
        <v>77</v>
      </c>
      <c r="G104" s="42">
        <v>0</v>
      </c>
      <c r="H104" s="43"/>
      <c r="I104" s="44"/>
      <c r="J104" s="45">
        <v>1.7999999999999999E-2</v>
      </c>
      <c r="K104" s="201">
        <f>+IF(E104&lt;=0.12,(J106),(IF(E104&lt;0.16,((J105+2*J106+J107)/4),IF(E104&gt;=0.16,((J104+3*J105+2*J106+3*J107+J108)/10)))))</f>
        <v>7.7800000000000008E-2</v>
      </c>
      <c r="L104" s="201">
        <f>ROUND(+(D99+D104)/2*(C104-C99),3)</f>
        <v>0.38200000000000001</v>
      </c>
      <c r="M104" s="201">
        <f>ROUND(+K104*L104,4)</f>
        <v>2.9700000000000001E-2</v>
      </c>
      <c r="N104" s="204">
        <f>ROUND(+M104/$M$128*100,2)</f>
        <v>0.36</v>
      </c>
      <c r="O104" s="205"/>
      <c r="P104" s="206"/>
      <c r="Q104" s="32"/>
      <c r="R104" s="32"/>
      <c r="S104" s="32"/>
      <c r="T104" s="32"/>
      <c r="U104" s="32"/>
    </row>
    <row r="105" spans="1:21" s="40" customFormat="1" ht="13.5" customHeight="1" x14ac:dyDescent="0.25">
      <c r="A105" s="32"/>
      <c r="B105" s="222"/>
      <c r="C105" s="202"/>
      <c r="D105" s="202"/>
      <c r="E105" s="202"/>
      <c r="F105" s="46" t="s">
        <v>78</v>
      </c>
      <c r="G105" s="47">
        <f t="shared" ref="G105" si="89">IF(E104&lt;0.125,"NA",IF(0.125&lt;=E104,(0.2*E104)))</f>
        <v>4.4200000000000003E-2</v>
      </c>
      <c r="H105" s="48"/>
      <c r="I105" s="49"/>
      <c r="J105" s="50">
        <v>2.7E-2</v>
      </c>
      <c r="K105" s="202"/>
      <c r="L105" s="202"/>
      <c r="M105" s="202"/>
      <c r="N105" s="202"/>
      <c r="O105" s="202"/>
      <c r="P105" s="207"/>
      <c r="Q105" s="32"/>
      <c r="R105" s="32"/>
      <c r="S105" s="32"/>
      <c r="T105" s="32"/>
      <c r="U105" s="32"/>
    </row>
    <row r="106" spans="1:21" s="40" customFormat="1" ht="13.5" customHeight="1" x14ac:dyDescent="0.25">
      <c r="A106" s="32"/>
      <c r="B106" s="222"/>
      <c r="C106" s="202"/>
      <c r="D106" s="202"/>
      <c r="E106" s="202"/>
      <c r="F106" s="46" t="s">
        <v>79</v>
      </c>
      <c r="G106" s="47">
        <f t="shared" ref="G106" si="90">+E104*0.4</f>
        <v>8.8400000000000006E-2</v>
      </c>
      <c r="H106" s="48"/>
      <c r="I106" s="49"/>
      <c r="J106" s="50">
        <v>9.8000000000000004E-2</v>
      </c>
      <c r="K106" s="202"/>
      <c r="L106" s="202"/>
      <c r="M106" s="202"/>
      <c r="N106" s="202"/>
      <c r="O106" s="202"/>
      <c r="P106" s="207"/>
      <c r="Q106" s="32"/>
      <c r="R106" s="32"/>
      <c r="S106" s="32"/>
      <c r="T106" s="32"/>
      <c r="U106" s="32"/>
    </row>
    <row r="107" spans="1:21" s="40" customFormat="1" ht="13.5" customHeight="1" x14ac:dyDescent="0.25">
      <c r="A107" s="32"/>
      <c r="B107" s="222"/>
      <c r="C107" s="202"/>
      <c r="D107" s="202"/>
      <c r="E107" s="202"/>
      <c r="F107" s="46" t="s">
        <v>80</v>
      </c>
      <c r="G107" s="47">
        <f t="shared" ref="G107" si="91">IF(E104&lt;0.125,"NA",IF(0.125&lt;=E104,(0.8*E104)))</f>
        <v>0.17680000000000001</v>
      </c>
      <c r="H107" s="48"/>
      <c r="I107" s="49"/>
      <c r="J107" s="50">
        <v>0.109</v>
      </c>
      <c r="K107" s="202"/>
      <c r="L107" s="202"/>
      <c r="M107" s="202"/>
      <c r="N107" s="202"/>
      <c r="O107" s="202"/>
      <c r="P107" s="207"/>
      <c r="Q107" s="32"/>
      <c r="R107" s="32"/>
      <c r="S107" s="32"/>
      <c r="T107" s="32"/>
      <c r="U107" s="32"/>
    </row>
    <row r="108" spans="1:21" s="40" customFormat="1" ht="13.5" customHeight="1" thickBot="1" x14ac:dyDescent="0.3">
      <c r="A108" s="32"/>
      <c r="B108" s="223"/>
      <c r="C108" s="203"/>
      <c r="D108" s="203"/>
      <c r="E108" s="203"/>
      <c r="F108" s="51" t="s">
        <v>81</v>
      </c>
      <c r="G108" s="52">
        <f t="shared" ref="G108" si="92">+E104</f>
        <v>0.221</v>
      </c>
      <c r="H108" s="53"/>
      <c r="I108" s="54"/>
      <c r="J108" s="55">
        <v>0.156</v>
      </c>
      <c r="K108" s="203"/>
      <c r="L108" s="203"/>
      <c r="M108" s="203"/>
      <c r="N108" s="203"/>
      <c r="O108" s="203"/>
      <c r="P108" s="208"/>
      <c r="Q108" s="32"/>
      <c r="R108" s="32"/>
      <c r="S108" s="32"/>
      <c r="T108" s="32"/>
      <c r="U108" s="32"/>
    </row>
    <row r="109" spans="1:21" s="3" customFormat="1" ht="14.1" customHeight="1" x14ac:dyDescent="0.2">
      <c r="B109" s="209" t="s">
        <v>28</v>
      </c>
      <c r="C109" s="212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4"/>
    </row>
    <row r="110" spans="1:21" s="3" customFormat="1" ht="14.1" customHeight="1" x14ac:dyDescent="0.2">
      <c r="B110" s="210"/>
      <c r="C110" s="215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7"/>
    </row>
    <row r="111" spans="1:21" s="3" customFormat="1" ht="14.1" customHeight="1" x14ac:dyDescent="0.2">
      <c r="B111" s="210"/>
      <c r="C111" s="215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7"/>
    </row>
    <row r="112" spans="1:21" s="3" customFormat="1" ht="14.1" customHeight="1" x14ac:dyDescent="0.2">
      <c r="B112" s="210"/>
      <c r="C112" s="215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7"/>
    </row>
    <row r="113" spans="1:21" s="3" customFormat="1" ht="14.1" customHeight="1" x14ac:dyDescent="0.2">
      <c r="B113" s="210"/>
      <c r="C113" s="215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7"/>
    </row>
    <row r="114" spans="1:21" s="3" customFormat="1" ht="14.1" customHeight="1" thickBot="1" x14ac:dyDescent="0.25">
      <c r="B114" s="211"/>
      <c r="C114" s="218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20"/>
    </row>
    <row r="115" spans="1:21" s="3" customFormat="1" ht="28.5" customHeight="1" thickBot="1" x14ac:dyDescent="0.25">
      <c r="A115" s="56"/>
      <c r="B115" s="57" t="s">
        <v>82</v>
      </c>
      <c r="C115" s="188" t="s">
        <v>83</v>
      </c>
      <c r="D115" s="188"/>
      <c r="E115" s="188"/>
      <c r="F115" s="188"/>
      <c r="G115" s="188"/>
      <c r="H115" s="189"/>
      <c r="I115" s="190"/>
      <c r="J115" s="57" t="s">
        <v>84</v>
      </c>
      <c r="K115" s="188" t="s">
        <v>85</v>
      </c>
      <c r="L115" s="188"/>
      <c r="M115" s="188"/>
      <c r="N115" s="188"/>
      <c r="O115" s="188"/>
      <c r="P115" s="189"/>
    </row>
    <row r="116" spans="1:21" s="3" customFormat="1" ht="28.5" customHeight="1" thickBot="1" x14ac:dyDescent="0.25">
      <c r="B116" s="58" t="s">
        <v>86</v>
      </c>
      <c r="C116" s="192" t="s">
        <v>87</v>
      </c>
      <c r="D116" s="192"/>
      <c r="E116" s="192"/>
      <c r="F116" s="192"/>
      <c r="G116" s="192"/>
      <c r="H116" s="193"/>
      <c r="I116" s="191"/>
      <c r="J116" s="58" t="s">
        <v>88</v>
      </c>
      <c r="K116" s="192" t="s">
        <v>89</v>
      </c>
      <c r="L116" s="192"/>
      <c r="M116" s="192"/>
      <c r="N116" s="192"/>
      <c r="O116" s="192"/>
      <c r="P116" s="193"/>
    </row>
    <row r="117" spans="1:21" s="19" customFormat="1" ht="13.5" customHeight="1" x14ac:dyDescent="0.25">
      <c r="A117" s="59"/>
      <c r="B117" s="194">
        <f>+B49</f>
        <v>7</v>
      </c>
      <c r="C117" s="197">
        <f>+C44</f>
        <v>7.53</v>
      </c>
      <c r="D117" s="199">
        <f>+D44</f>
        <v>0.90700000000000003</v>
      </c>
      <c r="E117" s="199">
        <f>+E49</f>
        <v>0.92200000000000004</v>
      </c>
      <c r="F117" s="60" t="s">
        <v>77</v>
      </c>
      <c r="G117" s="60">
        <v>0.01</v>
      </c>
      <c r="H117" s="61"/>
      <c r="I117" s="62"/>
      <c r="J117" s="63">
        <v>0.64500000000000002</v>
      </c>
      <c r="K117" s="200">
        <f>+AVERAGE(J117:J127)</f>
        <v>0.88272727272727269</v>
      </c>
      <c r="L117" s="179">
        <f>ROUND(+(D117+D122)/2*(C122-C117),3)</f>
        <v>0.88500000000000001</v>
      </c>
      <c r="M117" s="182">
        <f>ROUND(+K117*L117,4)</f>
        <v>0.78120000000000001</v>
      </c>
      <c r="N117" s="179">
        <f>ROUND(+M117/$M$128*100,2)</f>
        <v>9.3699999999999992</v>
      </c>
      <c r="O117" s="179"/>
      <c r="P117" s="183"/>
      <c r="Q117" s="64"/>
      <c r="R117" s="64"/>
      <c r="S117" s="64"/>
      <c r="T117" s="64"/>
      <c r="U117" s="64"/>
    </row>
    <row r="118" spans="1:21" s="19" customFormat="1" ht="13.5" customHeight="1" x14ac:dyDescent="0.25">
      <c r="A118" s="59"/>
      <c r="B118" s="195"/>
      <c r="C118" s="180"/>
      <c r="D118" s="180"/>
      <c r="E118" s="180"/>
      <c r="F118" s="65" t="s">
        <v>90</v>
      </c>
      <c r="G118" s="66">
        <f>+E117*0.1</f>
        <v>9.2200000000000004E-2</v>
      </c>
      <c r="H118" s="67"/>
      <c r="I118" s="68"/>
      <c r="J118" s="69">
        <v>0.67800000000000005</v>
      </c>
      <c r="K118" s="180"/>
      <c r="L118" s="180"/>
      <c r="M118" s="180"/>
      <c r="N118" s="180"/>
      <c r="O118" s="180"/>
      <c r="P118" s="184"/>
      <c r="Q118" s="64"/>
      <c r="R118" s="64"/>
      <c r="S118" s="64"/>
      <c r="T118" s="64"/>
      <c r="U118" s="64"/>
    </row>
    <row r="119" spans="1:21" s="19" customFormat="1" ht="13.5" customHeight="1" x14ac:dyDescent="0.25">
      <c r="A119" s="59"/>
      <c r="B119" s="195"/>
      <c r="C119" s="180"/>
      <c r="D119" s="180"/>
      <c r="E119" s="180"/>
      <c r="F119" s="65" t="s">
        <v>91</v>
      </c>
      <c r="G119" s="66">
        <f>+E117*0.2</f>
        <v>0.18440000000000001</v>
      </c>
      <c r="H119" s="67"/>
      <c r="I119" s="68"/>
      <c r="J119" s="69">
        <v>0.78900000000000003</v>
      </c>
      <c r="K119" s="180"/>
      <c r="L119" s="180"/>
      <c r="M119" s="180"/>
      <c r="N119" s="180"/>
      <c r="O119" s="180"/>
      <c r="P119" s="184"/>
      <c r="Q119" s="64"/>
      <c r="R119" s="64"/>
      <c r="S119" s="64"/>
      <c r="T119" s="64"/>
      <c r="U119" s="64"/>
    </row>
    <row r="120" spans="1:21" s="19" customFormat="1" ht="13.5" customHeight="1" x14ac:dyDescent="0.25">
      <c r="A120" s="59"/>
      <c r="B120" s="195"/>
      <c r="C120" s="180"/>
      <c r="D120" s="180"/>
      <c r="E120" s="180"/>
      <c r="F120" s="65" t="s">
        <v>92</v>
      </c>
      <c r="G120" s="66">
        <f>+E117*0.3</f>
        <v>0.27660000000000001</v>
      </c>
      <c r="H120" s="67"/>
      <c r="I120" s="68"/>
      <c r="J120" s="69">
        <v>0.80500000000000005</v>
      </c>
      <c r="K120" s="180"/>
      <c r="L120" s="180"/>
      <c r="M120" s="180"/>
      <c r="N120" s="180"/>
      <c r="O120" s="180"/>
      <c r="P120" s="184"/>
      <c r="Q120" s="64"/>
      <c r="R120" s="64"/>
      <c r="S120" s="64"/>
      <c r="T120" s="64"/>
      <c r="U120" s="64"/>
    </row>
    <row r="121" spans="1:21" s="19" customFormat="1" ht="13.5" customHeight="1" x14ac:dyDescent="0.25">
      <c r="A121" s="59"/>
      <c r="B121" s="195"/>
      <c r="C121" s="198"/>
      <c r="D121" s="198"/>
      <c r="E121" s="180"/>
      <c r="F121" s="65" t="s">
        <v>93</v>
      </c>
      <c r="G121" s="66">
        <f>+E117*0.4</f>
        <v>0.36880000000000002</v>
      </c>
      <c r="H121" s="67"/>
      <c r="I121" s="68"/>
      <c r="J121" s="69">
        <v>0.86699999999999999</v>
      </c>
      <c r="K121" s="180"/>
      <c r="L121" s="180"/>
      <c r="M121" s="180"/>
      <c r="N121" s="180"/>
      <c r="O121" s="180"/>
      <c r="P121" s="184"/>
      <c r="Q121" s="64"/>
      <c r="R121" s="64"/>
      <c r="S121" s="64"/>
      <c r="T121" s="64"/>
      <c r="U121" s="64"/>
    </row>
    <row r="122" spans="1:21" s="19" customFormat="1" ht="13.5" customHeight="1" x14ac:dyDescent="0.25">
      <c r="A122" s="59"/>
      <c r="B122" s="195"/>
      <c r="C122" s="186">
        <f>+C49</f>
        <v>8.5300000000000011</v>
      </c>
      <c r="D122" s="187">
        <f>+D49</f>
        <v>0.86299999999999999</v>
      </c>
      <c r="E122" s="180"/>
      <c r="F122" s="65" t="s">
        <v>29</v>
      </c>
      <c r="G122" s="66">
        <f>+E117*0.5</f>
        <v>0.46100000000000002</v>
      </c>
      <c r="H122" s="67"/>
      <c r="I122" s="68"/>
      <c r="J122" s="69">
        <v>0.92700000000000005</v>
      </c>
      <c r="K122" s="180"/>
      <c r="L122" s="180"/>
      <c r="M122" s="180"/>
      <c r="N122" s="180"/>
      <c r="O122" s="180"/>
      <c r="P122" s="184"/>
      <c r="Q122" s="64"/>
      <c r="R122" s="64"/>
      <c r="S122" s="64"/>
      <c r="T122" s="64"/>
      <c r="U122" s="64"/>
    </row>
    <row r="123" spans="1:21" s="19" customFormat="1" ht="13.5" customHeight="1" x14ac:dyDescent="0.25">
      <c r="A123" s="59"/>
      <c r="B123" s="195"/>
      <c r="C123" s="180"/>
      <c r="D123" s="180"/>
      <c r="E123" s="180"/>
      <c r="F123" s="65" t="s">
        <v>94</v>
      </c>
      <c r="G123" s="66">
        <f>+E117*0.6</f>
        <v>0.55320000000000003</v>
      </c>
      <c r="H123" s="67"/>
      <c r="I123" s="68"/>
      <c r="J123" s="69">
        <v>0.93700000000000006</v>
      </c>
      <c r="K123" s="180"/>
      <c r="L123" s="180"/>
      <c r="M123" s="180"/>
      <c r="N123" s="180"/>
      <c r="O123" s="180"/>
      <c r="P123" s="184"/>
      <c r="Q123" s="64"/>
      <c r="R123" s="64"/>
      <c r="S123" s="64"/>
      <c r="T123" s="64"/>
      <c r="U123" s="64"/>
    </row>
    <row r="124" spans="1:21" s="19" customFormat="1" ht="13.5" customHeight="1" x14ac:dyDescent="0.25">
      <c r="A124" s="59"/>
      <c r="B124" s="195"/>
      <c r="C124" s="180"/>
      <c r="D124" s="180"/>
      <c r="E124" s="180"/>
      <c r="F124" s="65" t="s">
        <v>95</v>
      </c>
      <c r="G124" s="66">
        <f>+E117*0.7</f>
        <v>0.64539999999999997</v>
      </c>
      <c r="H124" s="67"/>
      <c r="I124" s="68"/>
      <c r="J124" s="69">
        <v>0.93</v>
      </c>
      <c r="K124" s="180"/>
      <c r="L124" s="180"/>
      <c r="M124" s="180"/>
      <c r="N124" s="180"/>
      <c r="O124" s="180"/>
      <c r="P124" s="184"/>
      <c r="Q124" s="64"/>
      <c r="R124" s="64"/>
      <c r="S124" s="64"/>
      <c r="T124" s="64"/>
      <c r="U124" s="64"/>
    </row>
    <row r="125" spans="1:21" s="19" customFormat="1" ht="13.5" customHeight="1" x14ac:dyDescent="0.25">
      <c r="A125" s="59"/>
      <c r="B125" s="195"/>
      <c r="C125" s="180"/>
      <c r="D125" s="180"/>
      <c r="E125" s="180"/>
      <c r="F125" s="65" t="s">
        <v>96</v>
      </c>
      <c r="G125" s="66">
        <f>+E117*0.8</f>
        <v>0.73760000000000003</v>
      </c>
      <c r="H125" s="67"/>
      <c r="I125" s="68"/>
      <c r="J125" s="69">
        <v>1.0249999999999999</v>
      </c>
      <c r="K125" s="180"/>
      <c r="L125" s="180"/>
      <c r="M125" s="180"/>
      <c r="N125" s="180"/>
      <c r="O125" s="180"/>
      <c r="P125" s="184"/>
      <c r="Q125" s="64"/>
      <c r="R125" s="64"/>
      <c r="S125" s="64"/>
      <c r="T125" s="64"/>
      <c r="U125" s="64"/>
    </row>
    <row r="126" spans="1:21" s="19" customFormat="1" ht="13.5" customHeight="1" x14ac:dyDescent="0.25">
      <c r="A126" s="59"/>
      <c r="B126" s="195"/>
      <c r="C126" s="180"/>
      <c r="D126" s="180"/>
      <c r="E126" s="180"/>
      <c r="F126" s="65" t="s">
        <v>97</v>
      </c>
      <c r="G126" s="66">
        <f>+E117*0.9</f>
        <v>0.82980000000000009</v>
      </c>
      <c r="H126" s="67"/>
      <c r="I126" s="68"/>
      <c r="J126" s="69">
        <v>1.048</v>
      </c>
      <c r="K126" s="180"/>
      <c r="L126" s="180"/>
      <c r="M126" s="180"/>
      <c r="N126" s="180"/>
      <c r="O126" s="180"/>
      <c r="P126" s="184"/>
      <c r="Q126" s="64"/>
      <c r="R126" s="64"/>
      <c r="S126" s="64"/>
      <c r="T126" s="64"/>
      <c r="U126" s="64"/>
    </row>
    <row r="127" spans="1:21" s="19" customFormat="1" ht="15.75" thickBot="1" x14ac:dyDescent="0.3">
      <c r="A127" s="59"/>
      <c r="B127" s="196"/>
      <c r="C127" s="181"/>
      <c r="D127" s="181"/>
      <c r="E127" s="181"/>
      <c r="F127" s="70" t="s">
        <v>30</v>
      </c>
      <c r="G127" s="70">
        <f>+E117</f>
        <v>0.92200000000000004</v>
      </c>
      <c r="H127" s="71"/>
      <c r="I127" s="72"/>
      <c r="J127" s="73">
        <v>1.0589999999999999</v>
      </c>
      <c r="K127" s="181"/>
      <c r="L127" s="181"/>
      <c r="M127" s="181"/>
      <c r="N127" s="181"/>
      <c r="O127" s="181"/>
      <c r="P127" s="185"/>
      <c r="Q127" s="64"/>
      <c r="R127" s="64"/>
      <c r="S127" s="64"/>
      <c r="T127" s="64"/>
      <c r="U127" s="64"/>
    </row>
    <row r="128" spans="1:21" s="3" customFormat="1" ht="12.75" x14ac:dyDescent="0.2">
      <c r="A128" s="11"/>
      <c r="B128" s="167" t="s">
        <v>31</v>
      </c>
      <c r="C128" s="167"/>
      <c r="D128" s="167"/>
      <c r="E128" s="167"/>
      <c r="F128" s="167"/>
      <c r="G128" s="167"/>
      <c r="H128" s="167"/>
      <c r="I128" s="167"/>
      <c r="J128" s="167"/>
      <c r="K128" s="16">
        <f>ROUND(+M128/L128,3)</f>
        <v>0.71499999999999997</v>
      </c>
      <c r="L128" s="15">
        <f>SUM(L18:L127)</f>
        <v>11.664999999999999</v>
      </c>
      <c r="M128" s="14">
        <f>SUM(M19:M127)</f>
        <v>8.3415999999999997</v>
      </c>
      <c r="N128" s="12">
        <f>ROUND(SUM(N24:N127),0)</f>
        <v>100</v>
      </c>
      <c r="O128" s="169" t="s">
        <v>32</v>
      </c>
      <c r="P128" s="171"/>
    </row>
    <row r="129" spans="1:18" s="3" customFormat="1" ht="15" customHeight="1" thickBot="1" x14ac:dyDescent="0.25">
      <c r="A129" s="11"/>
      <c r="B129" s="168"/>
      <c r="C129" s="168"/>
      <c r="D129" s="168"/>
      <c r="E129" s="168"/>
      <c r="F129" s="168"/>
      <c r="G129" s="168"/>
      <c r="H129" s="168"/>
      <c r="I129" s="168"/>
      <c r="J129" s="168"/>
      <c r="K129" s="13" t="s">
        <v>33</v>
      </c>
      <c r="L129" s="13" t="s">
        <v>49</v>
      </c>
      <c r="M129" s="13" t="s">
        <v>103</v>
      </c>
      <c r="N129" s="13" t="s">
        <v>34</v>
      </c>
      <c r="O129" s="170"/>
      <c r="P129" s="172"/>
    </row>
    <row r="130" spans="1:18" ht="15" customHeight="1" thickBot="1" x14ac:dyDescent="0.3">
      <c r="A130" s="5"/>
      <c r="B130" s="173" t="s">
        <v>98</v>
      </c>
      <c r="C130" s="174"/>
      <c r="D130" s="174"/>
      <c r="E130" s="174"/>
      <c r="F130" s="175"/>
      <c r="G130" s="173" t="s">
        <v>99</v>
      </c>
      <c r="H130" s="174"/>
      <c r="I130" s="174"/>
      <c r="J130" s="174"/>
      <c r="K130" s="175"/>
      <c r="L130" s="176" t="s">
        <v>51</v>
      </c>
      <c r="M130" s="177"/>
      <c r="N130" s="177"/>
      <c r="O130" s="177"/>
      <c r="P130" s="178"/>
    </row>
    <row r="131" spans="1:18" ht="15" customHeight="1" x14ac:dyDescent="0.25">
      <c r="A131" s="5"/>
      <c r="B131" s="137"/>
      <c r="C131" s="138"/>
      <c r="D131" s="138"/>
      <c r="E131" s="138"/>
      <c r="F131" s="139"/>
      <c r="G131" s="137"/>
      <c r="H131" s="138"/>
      <c r="I131" s="138"/>
      <c r="J131" s="138"/>
      <c r="K131" s="139"/>
      <c r="L131" s="146" t="s">
        <v>100</v>
      </c>
      <c r="M131" s="147"/>
      <c r="N131" s="147"/>
      <c r="O131" s="148">
        <f>+AVERAGE(E18:E108)</f>
        <v>0.64461111111111113</v>
      </c>
      <c r="P131" s="149"/>
    </row>
    <row r="132" spans="1:18" ht="15" customHeight="1" thickBot="1" x14ac:dyDescent="0.3">
      <c r="A132" s="5"/>
      <c r="B132" s="140"/>
      <c r="C132" s="141"/>
      <c r="D132" s="141"/>
      <c r="E132" s="141"/>
      <c r="F132" s="142"/>
      <c r="G132" s="140"/>
      <c r="H132" s="141"/>
      <c r="I132" s="141"/>
      <c r="J132" s="141"/>
      <c r="K132" s="142"/>
      <c r="L132" s="150" t="s">
        <v>101</v>
      </c>
      <c r="M132" s="151"/>
      <c r="N132" s="151"/>
      <c r="O132" s="152">
        <f>+MAX(E18:E108)</f>
        <v>0.92200000000000004</v>
      </c>
      <c r="P132" s="153"/>
    </row>
    <row r="133" spans="1:18" ht="18.600000000000001" customHeight="1" x14ac:dyDescent="0.25">
      <c r="A133" s="6"/>
      <c r="B133" s="140"/>
      <c r="C133" s="141"/>
      <c r="D133" s="141"/>
      <c r="E133" s="141"/>
      <c r="F133" s="142"/>
      <c r="G133" s="140"/>
      <c r="H133" s="141"/>
      <c r="I133" s="141"/>
      <c r="J133" s="141"/>
      <c r="K133" s="142"/>
      <c r="L133" s="154" t="s">
        <v>112</v>
      </c>
      <c r="M133" s="155"/>
      <c r="N133" s="155"/>
      <c r="O133" s="155"/>
      <c r="P133" s="156"/>
    </row>
    <row r="134" spans="1:18" ht="61.5" customHeight="1" x14ac:dyDescent="0.25">
      <c r="A134" s="10"/>
      <c r="B134" s="140"/>
      <c r="C134" s="141"/>
      <c r="D134" s="141"/>
      <c r="E134" s="141"/>
      <c r="F134" s="142"/>
      <c r="G134" s="140"/>
      <c r="H134" s="141"/>
      <c r="I134" s="141"/>
      <c r="J134" s="141"/>
      <c r="K134" s="142"/>
      <c r="L134" s="157"/>
      <c r="M134" s="158"/>
      <c r="N134" s="158"/>
      <c r="O134" s="158"/>
      <c r="P134" s="159"/>
    </row>
    <row r="135" spans="1:18" ht="15" customHeight="1" thickBot="1" x14ac:dyDescent="0.3">
      <c r="A135" s="5"/>
      <c r="B135" s="140"/>
      <c r="C135" s="141"/>
      <c r="D135" s="141"/>
      <c r="E135" s="141"/>
      <c r="F135" s="142"/>
      <c r="G135" s="140"/>
      <c r="H135" s="141"/>
      <c r="I135" s="141"/>
      <c r="J135" s="141"/>
      <c r="K135" s="142"/>
      <c r="L135" s="160"/>
      <c r="M135" s="161"/>
      <c r="N135" s="161"/>
      <c r="O135" s="161"/>
      <c r="P135" s="162"/>
    </row>
    <row r="136" spans="1:18" ht="22.5" customHeight="1" thickBot="1" x14ac:dyDescent="0.3">
      <c r="A136" s="5"/>
      <c r="B136" s="140"/>
      <c r="C136" s="141"/>
      <c r="D136" s="141"/>
      <c r="E136" s="141"/>
      <c r="F136" s="142"/>
      <c r="G136" s="140"/>
      <c r="H136" s="141"/>
      <c r="I136" s="141"/>
      <c r="J136" s="141"/>
      <c r="K136" s="142"/>
      <c r="L136" s="163" t="s">
        <v>35</v>
      </c>
      <c r="M136" s="164"/>
      <c r="N136" s="164"/>
      <c r="O136" s="164"/>
      <c r="P136" s="83">
        <v>11.25</v>
      </c>
    </row>
    <row r="137" spans="1:18" ht="32.25" customHeight="1" thickBot="1" x14ac:dyDescent="0.3">
      <c r="A137" s="5"/>
      <c r="B137" s="143"/>
      <c r="C137" s="144"/>
      <c r="D137" s="144"/>
      <c r="E137" s="144"/>
      <c r="F137" s="145"/>
      <c r="G137" s="143"/>
      <c r="H137" s="144"/>
      <c r="I137" s="144"/>
      <c r="J137" s="144"/>
      <c r="K137" s="145"/>
      <c r="L137" s="165" t="s">
        <v>50</v>
      </c>
      <c r="M137" s="166"/>
      <c r="N137" s="166"/>
      <c r="O137" s="166"/>
      <c r="P137" s="83">
        <v>0.80800000000000005</v>
      </c>
      <c r="R137" s="99"/>
    </row>
    <row r="138" spans="1:18" ht="23.45" customHeight="1" thickBot="1" x14ac:dyDescent="0.3">
      <c r="A138" s="7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</row>
    <row r="139" spans="1:18" ht="15.75" thickBot="1" x14ac:dyDescent="0.3">
      <c r="A139" s="126" t="s">
        <v>36</v>
      </c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8"/>
    </row>
    <row r="140" spans="1:18" ht="159" customHeight="1" thickBot="1" x14ac:dyDescent="0.3">
      <c r="A140" s="4"/>
      <c r="B140" s="129"/>
      <c r="C140" s="130"/>
      <c r="D140" s="130"/>
      <c r="E140" s="130"/>
      <c r="F140" s="131"/>
      <c r="G140" s="129"/>
      <c r="H140" s="130"/>
      <c r="I140" s="130"/>
      <c r="J140" s="130"/>
      <c r="K140" s="131"/>
      <c r="L140" s="129"/>
      <c r="M140" s="130"/>
      <c r="N140" s="130"/>
      <c r="O140" s="130"/>
      <c r="P140" s="132"/>
    </row>
    <row r="141" spans="1:18" ht="21.75" customHeight="1" thickBot="1" x14ac:dyDescent="0.3">
      <c r="A141" s="4"/>
      <c r="B141" s="133" t="s">
        <v>113</v>
      </c>
      <c r="C141" s="134"/>
      <c r="D141" s="134"/>
      <c r="E141" s="134"/>
      <c r="F141" s="135"/>
      <c r="G141" s="133" t="s">
        <v>114</v>
      </c>
      <c r="H141" s="134"/>
      <c r="I141" s="134"/>
      <c r="J141" s="134"/>
      <c r="K141" s="135"/>
      <c r="L141" s="133" t="s">
        <v>106</v>
      </c>
      <c r="M141" s="134"/>
      <c r="N141" s="134"/>
      <c r="O141" s="134"/>
      <c r="P141" s="136"/>
    </row>
    <row r="142" spans="1:18" s="9" customFormat="1" ht="16.899999999999999" customHeight="1" thickBot="1" x14ac:dyDescent="0.3">
      <c r="A142" s="8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1"/>
    </row>
    <row r="143" spans="1:18" s="3" customFormat="1" ht="15.75" customHeight="1" thickBot="1" x14ac:dyDescent="0.25">
      <c r="A143" s="122" t="s">
        <v>37</v>
      </c>
      <c r="B143" s="123"/>
      <c r="C143" s="123"/>
      <c r="D143" s="123"/>
      <c r="E143" s="123"/>
      <c r="F143" s="123"/>
      <c r="G143" s="123"/>
      <c r="H143" s="123"/>
      <c r="I143" s="123"/>
      <c r="J143" s="123" t="s">
        <v>38</v>
      </c>
      <c r="K143" s="123"/>
      <c r="L143" s="123"/>
      <c r="M143" s="123"/>
      <c r="N143" s="123"/>
      <c r="O143" s="123"/>
      <c r="P143" s="124"/>
    </row>
  </sheetData>
  <mergeCells count="28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104:M108"/>
    <mergeCell ref="N104:N108"/>
    <mergeCell ref="O104:O108"/>
    <mergeCell ref="P104:P108"/>
    <mergeCell ref="B109:B114"/>
    <mergeCell ref="C109:P114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C115:H115"/>
    <mergeCell ref="I115:I116"/>
    <mergeCell ref="K115:P115"/>
    <mergeCell ref="C116:H116"/>
    <mergeCell ref="K116:P116"/>
    <mergeCell ref="B117:B127"/>
    <mergeCell ref="C117:C121"/>
    <mergeCell ref="D117:D121"/>
    <mergeCell ref="E117:E127"/>
    <mergeCell ref="K117:K127"/>
    <mergeCell ref="B128:J129"/>
    <mergeCell ref="O128:O129"/>
    <mergeCell ref="P128:P129"/>
    <mergeCell ref="B130:F130"/>
    <mergeCell ref="G130:K130"/>
    <mergeCell ref="L130:P130"/>
    <mergeCell ref="L117:L127"/>
    <mergeCell ref="M117:M127"/>
    <mergeCell ref="N117:N127"/>
    <mergeCell ref="O117:O127"/>
    <mergeCell ref="P117:P127"/>
    <mergeCell ref="C122:C127"/>
    <mergeCell ref="D122:D127"/>
    <mergeCell ref="B131:F137"/>
    <mergeCell ref="G131:K137"/>
    <mergeCell ref="L131:N131"/>
    <mergeCell ref="O131:P131"/>
    <mergeCell ref="L132:N132"/>
    <mergeCell ref="O132:P132"/>
    <mergeCell ref="L133:P135"/>
    <mergeCell ref="L136:O136"/>
    <mergeCell ref="L137:O137"/>
    <mergeCell ref="B142:P142"/>
    <mergeCell ref="A143:C143"/>
    <mergeCell ref="D143:I143"/>
    <mergeCell ref="J143:K143"/>
    <mergeCell ref="L143:P143"/>
    <mergeCell ref="B138:P138"/>
    <mergeCell ref="A139:P139"/>
    <mergeCell ref="B140:F140"/>
    <mergeCell ref="G140:K140"/>
    <mergeCell ref="L140:P140"/>
    <mergeCell ref="B141:F141"/>
    <mergeCell ref="G141:K141"/>
    <mergeCell ref="L141:P14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8"/>
  <sheetViews>
    <sheetView view="pageBreakPreview" zoomScaleSheetLayoutView="100" zoomScalePageLayoutView="110" workbookViewId="0">
      <selection activeCell="E19" sqref="E19:E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1" ht="4.9000000000000004" customHeight="1" thickBot="1" x14ac:dyDescent="0.3">
      <c r="J1" s="17"/>
    </row>
    <row r="2" spans="1:21" s="2" customFormat="1" ht="30" customHeight="1" x14ac:dyDescent="0.25">
      <c r="A2" s="316"/>
      <c r="B2" s="317"/>
      <c r="C2" s="318"/>
      <c r="D2" s="319"/>
      <c r="E2" s="320" t="s">
        <v>117</v>
      </c>
      <c r="F2" s="321"/>
      <c r="G2" s="321"/>
      <c r="H2" s="321"/>
      <c r="I2" s="321"/>
      <c r="J2" s="321"/>
      <c r="K2" s="321"/>
      <c r="L2" s="321"/>
      <c r="M2" s="321"/>
      <c r="N2" s="321"/>
      <c r="O2" s="322"/>
      <c r="P2" s="323"/>
    </row>
    <row r="3" spans="1:21" s="2" customFormat="1" ht="25.5" customHeight="1" thickBot="1" x14ac:dyDescent="0.3">
      <c r="A3" s="316"/>
      <c r="B3" s="324"/>
      <c r="C3" s="325"/>
      <c r="D3" s="326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30"/>
    </row>
    <row r="4" spans="1:21" s="19" customFormat="1" ht="11.25" customHeight="1" thickBot="1" x14ac:dyDescent="0.3">
      <c r="A4" s="18"/>
      <c r="B4" s="30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"/>
      <c r="R4" s="2"/>
      <c r="S4" s="2"/>
      <c r="T4" s="2"/>
      <c r="U4" s="2"/>
    </row>
    <row r="5" spans="1:21" s="22" customFormat="1" ht="31.5" customHeight="1" thickBot="1" x14ac:dyDescent="0.3">
      <c r="A5" s="20"/>
      <c r="B5" s="84" t="s">
        <v>0</v>
      </c>
      <c r="C5" s="307">
        <v>43293</v>
      </c>
      <c r="D5" s="308"/>
      <c r="E5" s="85" t="s">
        <v>52</v>
      </c>
      <c r="F5" s="86">
        <v>3</v>
      </c>
      <c r="G5" s="87" t="s">
        <v>1</v>
      </c>
      <c r="H5" s="331" t="s">
        <v>118</v>
      </c>
      <c r="I5" s="332"/>
      <c r="J5" s="332"/>
      <c r="K5" s="332"/>
      <c r="L5" s="332"/>
      <c r="M5" s="332"/>
      <c r="N5" s="332"/>
      <c r="O5" s="332"/>
      <c r="P5" s="333"/>
      <c r="Q5" s="21"/>
      <c r="R5" s="21"/>
      <c r="S5" s="21"/>
      <c r="T5" s="21"/>
      <c r="U5" s="21"/>
    </row>
    <row r="6" spans="1:21" s="92" customFormat="1" ht="21.75" customHeight="1" thickBot="1" x14ac:dyDescent="0.3">
      <c r="A6" s="88"/>
      <c r="B6" s="291" t="s">
        <v>2</v>
      </c>
      <c r="C6" s="292"/>
      <c r="D6" s="293" t="s">
        <v>107</v>
      </c>
      <c r="E6" s="294"/>
      <c r="F6" s="294"/>
      <c r="G6" s="294"/>
      <c r="H6" s="294"/>
      <c r="I6" s="295"/>
      <c r="J6" s="89" t="s">
        <v>3</v>
      </c>
      <c r="K6" s="293" t="s">
        <v>108</v>
      </c>
      <c r="L6" s="295"/>
      <c r="M6" s="293" t="s">
        <v>109</v>
      </c>
      <c r="N6" s="296"/>
      <c r="O6" s="90" t="s">
        <v>53</v>
      </c>
      <c r="P6" s="91"/>
    </row>
    <row r="7" spans="1:21" s="22" customFormat="1" ht="21.75" customHeight="1" x14ac:dyDescent="0.25">
      <c r="B7" s="297" t="s">
        <v>54</v>
      </c>
      <c r="C7" s="298" t="s">
        <v>55</v>
      </c>
      <c r="D7" s="269"/>
      <c r="E7" s="93"/>
      <c r="F7" s="299" t="s">
        <v>56</v>
      </c>
      <c r="G7" s="300"/>
      <c r="H7" s="300"/>
      <c r="I7" s="300"/>
      <c r="J7" s="301" t="s">
        <v>57</v>
      </c>
      <c r="K7" s="302"/>
      <c r="L7" s="302"/>
      <c r="M7" s="303"/>
      <c r="N7" s="304" t="s">
        <v>110</v>
      </c>
      <c r="O7" s="305"/>
      <c r="P7" s="94" t="s">
        <v>58</v>
      </c>
    </row>
    <row r="8" spans="1:21" s="22" customFormat="1" ht="21.75" customHeight="1" thickBot="1" x14ac:dyDescent="0.3">
      <c r="B8" s="243"/>
      <c r="C8" s="260" t="s">
        <v>59</v>
      </c>
      <c r="D8" s="259"/>
      <c r="E8" s="76" t="s">
        <v>4</v>
      </c>
      <c r="F8" s="270" t="s">
        <v>5</v>
      </c>
      <c r="G8" s="271"/>
      <c r="H8" s="271"/>
      <c r="I8" s="271"/>
      <c r="J8" s="272"/>
      <c r="K8" s="273"/>
      <c r="L8" s="273"/>
      <c r="M8" s="274"/>
      <c r="N8" s="275"/>
      <c r="O8" s="276"/>
      <c r="P8" s="95"/>
    </row>
    <row r="9" spans="1:21" s="22" customFormat="1" ht="21.75" customHeight="1" x14ac:dyDescent="0.25">
      <c r="B9" s="277" t="s">
        <v>6</v>
      </c>
      <c r="C9" s="280" t="s">
        <v>60</v>
      </c>
      <c r="D9" s="281" t="s">
        <v>61</v>
      </c>
      <c r="E9" s="266"/>
      <c r="F9" s="96"/>
      <c r="G9" s="282" t="s">
        <v>7</v>
      </c>
      <c r="H9" s="283" t="s">
        <v>8</v>
      </c>
      <c r="I9" s="269"/>
      <c r="J9" s="97"/>
      <c r="K9" s="280" t="s">
        <v>62</v>
      </c>
      <c r="L9" s="284" t="s">
        <v>111</v>
      </c>
      <c r="M9" s="285"/>
      <c r="N9" s="286"/>
      <c r="O9" s="286"/>
      <c r="P9" s="287"/>
    </row>
    <row r="10" spans="1:21" s="22" customFormat="1" ht="21.75" customHeight="1" thickBot="1" x14ac:dyDescent="0.3">
      <c r="B10" s="278"/>
      <c r="C10" s="223"/>
      <c r="D10" s="264" t="s">
        <v>63</v>
      </c>
      <c r="E10" s="259"/>
      <c r="F10" s="78" t="s">
        <v>4</v>
      </c>
      <c r="G10" s="223"/>
      <c r="H10" s="264" t="s">
        <v>9</v>
      </c>
      <c r="I10" s="259"/>
      <c r="J10" s="79" t="s">
        <v>4</v>
      </c>
      <c r="K10" s="223"/>
      <c r="L10" s="288"/>
      <c r="M10" s="289"/>
      <c r="N10" s="289"/>
      <c r="O10" s="289"/>
      <c r="P10" s="290"/>
    </row>
    <row r="11" spans="1:21" s="22" customFormat="1" ht="21.75" customHeight="1" x14ac:dyDescent="0.25">
      <c r="A11" s="20"/>
      <c r="B11" s="278"/>
      <c r="C11" s="265" t="s">
        <v>10</v>
      </c>
      <c r="D11" s="266"/>
      <c r="E11" s="80">
        <v>0.33331018518518518</v>
      </c>
      <c r="F11" s="267" t="s">
        <v>11</v>
      </c>
      <c r="G11" s="266"/>
      <c r="H11" s="81">
        <v>1.53</v>
      </c>
      <c r="I11" s="268" t="s">
        <v>12</v>
      </c>
      <c r="J11" s="269"/>
      <c r="K11" s="81">
        <v>16</v>
      </c>
      <c r="L11" s="265" t="s">
        <v>13</v>
      </c>
      <c r="M11" s="266"/>
      <c r="N11" s="77">
        <v>15.2</v>
      </c>
      <c r="O11" s="256" t="s">
        <v>64</v>
      </c>
      <c r="P11" s="257"/>
    </row>
    <row r="12" spans="1:21" s="22" customFormat="1" ht="21.75" customHeight="1" thickBot="1" x14ac:dyDescent="0.3">
      <c r="A12" s="20"/>
      <c r="B12" s="279"/>
      <c r="C12" s="258" t="s">
        <v>14</v>
      </c>
      <c r="D12" s="259"/>
      <c r="E12" s="80">
        <v>0.37777777777777777</v>
      </c>
      <c r="F12" s="260" t="s">
        <v>15</v>
      </c>
      <c r="G12" s="259"/>
      <c r="H12" s="81">
        <v>1.54</v>
      </c>
      <c r="I12" s="261" t="s">
        <v>16</v>
      </c>
      <c r="J12" s="259"/>
      <c r="K12" s="80">
        <v>0.31736111111111115</v>
      </c>
      <c r="L12" s="258" t="s">
        <v>17</v>
      </c>
      <c r="M12" s="259"/>
      <c r="N12" s="82">
        <v>1</v>
      </c>
      <c r="O12" s="262">
        <v>3.5</v>
      </c>
      <c r="P12" s="263"/>
    </row>
    <row r="13" spans="1:21" s="22" customFormat="1" ht="21.75" customHeight="1" x14ac:dyDescent="0.25">
      <c r="A13" s="20"/>
      <c r="B13" s="241" t="s">
        <v>18</v>
      </c>
      <c r="C13" s="244" t="s">
        <v>65</v>
      </c>
      <c r="D13" s="245"/>
      <c r="E13" s="245"/>
      <c r="F13" s="246" t="s">
        <v>66</v>
      </c>
      <c r="G13" s="245"/>
      <c r="H13" s="245"/>
      <c r="I13" s="245"/>
      <c r="J13" s="246" t="s">
        <v>67</v>
      </c>
      <c r="K13" s="245"/>
      <c r="L13" s="245"/>
      <c r="M13" s="245"/>
      <c r="N13" s="247" t="s">
        <v>68</v>
      </c>
      <c r="O13" s="245"/>
      <c r="P13" s="248"/>
      <c r="Q13" s="23"/>
      <c r="R13" s="21"/>
      <c r="S13" s="21"/>
      <c r="T13" s="21"/>
      <c r="U13" s="21"/>
    </row>
    <row r="14" spans="1:21" s="22" customFormat="1" ht="21.75" customHeight="1" x14ac:dyDescent="0.25">
      <c r="A14" s="20"/>
      <c r="B14" s="242"/>
      <c r="C14" s="249" t="s">
        <v>69</v>
      </c>
      <c r="D14" s="250"/>
      <c r="E14" s="250"/>
      <c r="F14" s="251" t="s">
        <v>70</v>
      </c>
      <c r="G14" s="250"/>
      <c r="H14" s="250"/>
      <c r="I14" s="250"/>
      <c r="J14" s="252" t="s">
        <v>71</v>
      </c>
      <c r="K14" s="250"/>
      <c r="L14" s="250"/>
      <c r="M14" s="250"/>
      <c r="N14" s="253"/>
      <c r="O14" s="238"/>
      <c r="P14" s="254"/>
      <c r="Q14" s="21"/>
      <c r="R14" s="21"/>
      <c r="S14" s="21"/>
      <c r="T14" s="21"/>
      <c r="U14" s="21"/>
    </row>
    <row r="15" spans="1:21" s="22" customFormat="1" ht="21.75" customHeight="1" thickBot="1" x14ac:dyDescent="0.3">
      <c r="A15" s="20"/>
      <c r="B15" s="243"/>
      <c r="C15" s="255" t="s">
        <v>72</v>
      </c>
      <c r="D15" s="225"/>
      <c r="E15" s="225"/>
      <c r="F15" s="225" t="s">
        <v>73</v>
      </c>
      <c r="G15" s="226"/>
      <c r="H15" s="226"/>
      <c r="I15" s="226"/>
      <c r="J15" s="225" t="s">
        <v>74</v>
      </c>
      <c r="K15" s="226"/>
      <c r="L15" s="226"/>
      <c r="M15" s="226"/>
      <c r="N15" s="227"/>
      <c r="O15" s="228"/>
      <c r="P15" s="229"/>
      <c r="Q15" s="21"/>
      <c r="R15" s="21"/>
      <c r="S15" s="21"/>
      <c r="T15" s="21"/>
      <c r="U15" s="21"/>
    </row>
    <row r="16" spans="1:21" s="22" customFormat="1" ht="21.75" customHeight="1" x14ac:dyDescent="0.25">
      <c r="A16" s="20"/>
      <c r="B16" s="230" t="s">
        <v>19</v>
      </c>
      <c r="C16" s="232" t="s">
        <v>20</v>
      </c>
      <c r="D16" s="232" t="s">
        <v>41</v>
      </c>
      <c r="E16" s="234" t="s">
        <v>21</v>
      </c>
      <c r="F16" s="235" t="s">
        <v>42</v>
      </c>
      <c r="G16" s="236"/>
      <c r="H16" s="232" t="s">
        <v>75</v>
      </c>
      <c r="I16" s="239" t="s">
        <v>76</v>
      </c>
      <c r="J16" s="24" t="s">
        <v>43</v>
      </c>
      <c r="K16" s="25"/>
      <c r="L16" s="26" t="s">
        <v>44</v>
      </c>
      <c r="M16" s="26" t="s">
        <v>45</v>
      </c>
      <c r="N16" s="26" t="s">
        <v>45</v>
      </c>
      <c r="O16" s="26" t="s">
        <v>46</v>
      </c>
      <c r="P16" s="27" t="s">
        <v>22</v>
      </c>
    </row>
    <row r="17" spans="1:21" s="22" customFormat="1" ht="21.75" customHeight="1" thickBot="1" x14ac:dyDescent="0.3">
      <c r="A17" s="28"/>
      <c r="B17" s="231"/>
      <c r="C17" s="233"/>
      <c r="D17" s="233"/>
      <c r="E17" s="233"/>
      <c r="F17" s="237"/>
      <c r="G17" s="238"/>
      <c r="H17" s="233"/>
      <c r="I17" s="240"/>
      <c r="J17" s="29" t="s">
        <v>23</v>
      </c>
      <c r="K17" s="30" t="s">
        <v>24</v>
      </c>
      <c r="L17" s="30" t="s">
        <v>47</v>
      </c>
      <c r="M17" s="30" t="s">
        <v>48</v>
      </c>
      <c r="N17" s="30" t="s">
        <v>25</v>
      </c>
      <c r="O17" s="30" t="s">
        <v>26</v>
      </c>
      <c r="P17" s="31" t="s">
        <v>27</v>
      </c>
    </row>
    <row r="18" spans="1:21" s="40" customFormat="1" ht="21.75" customHeight="1" thickBot="1" x14ac:dyDescent="0.3">
      <c r="A18" s="32"/>
      <c r="B18" s="33"/>
      <c r="C18" s="34">
        <f>+O12</f>
        <v>3.5</v>
      </c>
      <c r="D18" s="34">
        <v>5.3999999999999999E-2</v>
      </c>
      <c r="E18" s="35"/>
      <c r="F18" s="36"/>
      <c r="G18" s="75"/>
      <c r="H18" s="37"/>
      <c r="I18" s="38"/>
      <c r="J18" s="74"/>
      <c r="K18" s="35"/>
      <c r="L18" s="35"/>
      <c r="M18" s="35"/>
      <c r="N18" s="35"/>
      <c r="O18" s="35"/>
      <c r="P18" s="39"/>
      <c r="Q18" s="32"/>
      <c r="R18" s="32"/>
      <c r="S18" s="32"/>
      <c r="T18" s="32"/>
      <c r="U18" s="32"/>
    </row>
    <row r="19" spans="1:21" s="40" customFormat="1" ht="13.5" customHeight="1" x14ac:dyDescent="0.25">
      <c r="A19" s="32"/>
      <c r="B19" s="221">
        <v>1</v>
      </c>
      <c r="C19" s="224">
        <f>+C18+N12</f>
        <v>4.5</v>
      </c>
      <c r="D19" s="201">
        <v>0.38700000000000001</v>
      </c>
      <c r="E19" s="201">
        <v>6.6000000000000003E-2</v>
      </c>
      <c r="F19" s="41" t="s">
        <v>77</v>
      </c>
      <c r="G19" s="42">
        <v>0</v>
      </c>
      <c r="H19" s="43"/>
      <c r="I19" s="44"/>
      <c r="J19" s="45">
        <v>0.04</v>
      </c>
      <c r="K19" s="201">
        <f>+IF(E19&lt;=0.12,(J21),(IF(E19&lt;0.16,((J20+2*J21+J22)/4),IF(E19&gt;=0.16,((J19+3*J20+2*J21+3*J22+J23)/10)))))</f>
        <v>8.0000000000000002E-3</v>
      </c>
      <c r="L19" s="201">
        <f>ROUND(+(D18+D19)/2*(C19-C18),3)</f>
        <v>0.221</v>
      </c>
      <c r="M19" s="201">
        <f>ROUND(+K19*L19,4)</f>
        <v>1.8E-3</v>
      </c>
      <c r="N19" s="204">
        <f>ROUND(+M19/$M$113*100,2)</f>
        <v>0.1</v>
      </c>
      <c r="O19" s="205"/>
      <c r="P19" s="206"/>
      <c r="Q19" s="32"/>
      <c r="R19" s="32"/>
      <c r="S19" s="32"/>
      <c r="T19" s="32"/>
      <c r="U19" s="32"/>
    </row>
    <row r="20" spans="1:21" s="40" customFormat="1" ht="13.5" customHeight="1" x14ac:dyDescent="0.25">
      <c r="A20" s="32"/>
      <c r="B20" s="222"/>
      <c r="C20" s="202"/>
      <c r="D20" s="202"/>
      <c r="E20" s="202"/>
      <c r="F20" s="46" t="s">
        <v>78</v>
      </c>
      <c r="G20" s="47" t="str">
        <f>IF(E19&lt;0.125,"NA",IF(0.125&lt;=E19,(0.2*E19)))</f>
        <v>NA</v>
      </c>
      <c r="H20" s="48"/>
      <c r="I20" s="49"/>
      <c r="J20" s="50"/>
      <c r="K20" s="202"/>
      <c r="L20" s="202"/>
      <c r="M20" s="202"/>
      <c r="N20" s="202"/>
      <c r="O20" s="202"/>
      <c r="P20" s="207"/>
      <c r="Q20" s="32"/>
      <c r="R20" s="32"/>
      <c r="S20" s="32"/>
      <c r="T20" s="32"/>
      <c r="U20" s="32"/>
    </row>
    <row r="21" spans="1:21" s="40" customFormat="1" ht="13.5" customHeight="1" x14ac:dyDescent="0.25">
      <c r="A21" s="32"/>
      <c r="B21" s="222"/>
      <c r="C21" s="202"/>
      <c r="D21" s="202"/>
      <c r="E21" s="202"/>
      <c r="F21" s="46" t="s">
        <v>79</v>
      </c>
      <c r="G21" s="47">
        <f>+E19*0.4</f>
        <v>2.6400000000000003E-2</v>
      </c>
      <c r="H21" s="48"/>
      <c r="I21" s="49"/>
      <c r="J21" s="50">
        <v>8.0000000000000002E-3</v>
      </c>
      <c r="K21" s="202"/>
      <c r="L21" s="202"/>
      <c r="M21" s="202"/>
      <c r="N21" s="202"/>
      <c r="O21" s="202"/>
      <c r="P21" s="207"/>
      <c r="Q21" s="32"/>
      <c r="R21" s="32"/>
      <c r="S21" s="32"/>
      <c r="T21" s="32"/>
      <c r="U21" s="32"/>
    </row>
    <row r="22" spans="1:21" s="40" customFormat="1" ht="13.5" customHeight="1" x14ac:dyDescent="0.25">
      <c r="A22" s="32"/>
      <c r="B22" s="222"/>
      <c r="C22" s="202"/>
      <c r="D22" s="202"/>
      <c r="E22" s="202"/>
      <c r="F22" s="46" t="s">
        <v>80</v>
      </c>
      <c r="G22" s="47" t="str">
        <f>IF(E19&lt;0.125,"NA",IF(0.125&lt;=E19,(0.8*E19)))</f>
        <v>NA</v>
      </c>
      <c r="H22" s="48"/>
      <c r="I22" s="49"/>
      <c r="J22" s="50"/>
      <c r="K22" s="202"/>
      <c r="L22" s="202"/>
      <c r="M22" s="202"/>
      <c r="N22" s="202"/>
      <c r="O22" s="202"/>
      <c r="P22" s="207"/>
      <c r="Q22" s="32"/>
      <c r="R22" s="32"/>
      <c r="S22" s="32"/>
      <c r="T22" s="32"/>
      <c r="U22" s="32"/>
    </row>
    <row r="23" spans="1:21" s="40" customFormat="1" ht="13.5" customHeight="1" thickBot="1" x14ac:dyDescent="0.3">
      <c r="A23" s="32"/>
      <c r="B23" s="223"/>
      <c r="C23" s="203"/>
      <c r="D23" s="203"/>
      <c r="E23" s="203"/>
      <c r="F23" s="51" t="s">
        <v>81</v>
      </c>
      <c r="G23" s="52">
        <f>+E19</f>
        <v>6.6000000000000003E-2</v>
      </c>
      <c r="H23" s="53"/>
      <c r="I23" s="54"/>
      <c r="J23" s="55">
        <v>8.9999999999999993E-3</v>
      </c>
      <c r="K23" s="203"/>
      <c r="L23" s="203"/>
      <c r="M23" s="203"/>
      <c r="N23" s="203"/>
      <c r="O23" s="203"/>
      <c r="P23" s="208"/>
      <c r="Q23" s="32"/>
      <c r="R23" s="32"/>
      <c r="S23" s="32"/>
      <c r="T23" s="32"/>
      <c r="U23" s="32"/>
    </row>
    <row r="24" spans="1:21" s="40" customFormat="1" ht="13.5" customHeight="1" x14ac:dyDescent="0.25">
      <c r="A24" s="32"/>
      <c r="B24" s="221">
        <v>2</v>
      </c>
      <c r="C24" s="224">
        <f>+C19+N12</f>
        <v>5.5</v>
      </c>
      <c r="D24" s="201">
        <v>0.39</v>
      </c>
      <c r="E24" s="201">
        <v>0.441</v>
      </c>
      <c r="F24" s="41" t="s">
        <v>77</v>
      </c>
      <c r="G24" s="42">
        <v>0</v>
      </c>
      <c r="H24" s="43"/>
      <c r="I24" s="44"/>
      <c r="J24" s="45">
        <v>1.9E-2</v>
      </c>
      <c r="K24" s="201">
        <f>+IF(E24&lt;=0.12,(J26),(IF(E24&lt;0.16,((J25+2*J26+J27)/4),IF(E24&gt;=0.16,((J24+3*J25+2*J26+3*J27+J28)/10)))))</f>
        <v>3.2299999999999995E-2</v>
      </c>
      <c r="L24" s="201">
        <f>ROUND(+(D19+D24)/2*(C24-C19),3)</f>
        <v>0.38900000000000001</v>
      </c>
      <c r="M24" s="201">
        <f>ROUND(+K24*L24,4)</f>
        <v>1.26E-2</v>
      </c>
      <c r="N24" s="204">
        <f>ROUND(+M24/$M$113*100,2)</f>
        <v>0.73</v>
      </c>
      <c r="O24" s="205"/>
      <c r="P24" s="206"/>
      <c r="Q24" s="32"/>
      <c r="R24" s="32"/>
      <c r="S24" s="32"/>
      <c r="T24" s="32"/>
      <c r="U24" s="32"/>
    </row>
    <row r="25" spans="1:21" s="40" customFormat="1" ht="13.5" customHeight="1" x14ac:dyDescent="0.25">
      <c r="A25" s="32"/>
      <c r="B25" s="222"/>
      <c r="C25" s="202"/>
      <c r="D25" s="202"/>
      <c r="E25" s="202"/>
      <c r="F25" s="46" t="s">
        <v>78</v>
      </c>
      <c r="G25" s="47">
        <f>IF(E24&lt;0.125,"NA",IF(0.125&lt;=E24,(0.2*E24)))</f>
        <v>8.8200000000000001E-2</v>
      </c>
      <c r="H25" s="48"/>
      <c r="I25" s="49"/>
      <c r="J25" s="50">
        <v>0.03</v>
      </c>
      <c r="K25" s="202"/>
      <c r="L25" s="202"/>
      <c r="M25" s="202"/>
      <c r="N25" s="202"/>
      <c r="O25" s="202"/>
      <c r="P25" s="207"/>
      <c r="Q25" s="32"/>
      <c r="R25" s="32"/>
      <c r="S25" s="32"/>
      <c r="T25" s="32"/>
      <c r="U25" s="32"/>
    </row>
    <row r="26" spans="1:21" s="40" customFormat="1" ht="13.5" customHeight="1" x14ac:dyDescent="0.25">
      <c r="A26" s="32"/>
      <c r="B26" s="222"/>
      <c r="C26" s="202"/>
      <c r="D26" s="202"/>
      <c r="E26" s="202"/>
      <c r="F26" s="46" t="s">
        <v>79</v>
      </c>
      <c r="G26" s="47">
        <f>+E24*0.4</f>
        <v>0.1764</v>
      </c>
      <c r="H26" s="48"/>
      <c r="I26" s="49"/>
      <c r="J26" s="50">
        <v>3.4000000000000002E-2</v>
      </c>
      <c r="K26" s="202"/>
      <c r="L26" s="202"/>
      <c r="M26" s="202"/>
      <c r="N26" s="202"/>
      <c r="O26" s="202"/>
      <c r="P26" s="207"/>
      <c r="Q26" s="32"/>
      <c r="R26" s="32"/>
      <c r="S26" s="32"/>
      <c r="T26" s="32"/>
      <c r="U26" s="32"/>
    </row>
    <row r="27" spans="1:21" s="40" customFormat="1" ht="13.5" customHeight="1" x14ac:dyDescent="0.25">
      <c r="A27" s="32"/>
      <c r="B27" s="222"/>
      <c r="C27" s="202"/>
      <c r="D27" s="202"/>
      <c r="E27" s="202"/>
      <c r="F27" s="46" t="s">
        <v>80</v>
      </c>
      <c r="G27" s="47">
        <f>IF(E24&lt;0.125,"NA",IF(0.125&lt;=E24,(0.8*E24)))</f>
        <v>0.3528</v>
      </c>
      <c r="H27" s="48"/>
      <c r="I27" s="49"/>
      <c r="J27" s="50">
        <v>3.5999999999999997E-2</v>
      </c>
      <c r="K27" s="202"/>
      <c r="L27" s="202"/>
      <c r="M27" s="202"/>
      <c r="N27" s="202"/>
      <c r="O27" s="202"/>
      <c r="P27" s="207"/>
      <c r="Q27" s="32"/>
      <c r="R27" s="32"/>
      <c r="S27" s="32"/>
      <c r="T27" s="32"/>
      <c r="U27" s="32"/>
    </row>
    <row r="28" spans="1:21" s="40" customFormat="1" ht="13.5" customHeight="1" thickBot="1" x14ac:dyDescent="0.3">
      <c r="A28" s="32"/>
      <c r="B28" s="223"/>
      <c r="C28" s="203"/>
      <c r="D28" s="203"/>
      <c r="E28" s="203"/>
      <c r="F28" s="51" t="s">
        <v>81</v>
      </c>
      <c r="G28" s="52">
        <f>+E24</f>
        <v>0.441</v>
      </c>
      <c r="H28" s="53"/>
      <c r="I28" s="54"/>
      <c r="J28" s="55">
        <v>3.7999999999999999E-2</v>
      </c>
      <c r="K28" s="203"/>
      <c r="L28" s="203"/>
      <c r="M28" s="203"/>
      <c r="N28" s="203"/>
      <c r="O28" s="203"/>
      <c r="P28" s="208"/>
      <c r="Q28" s="32"/>
      <c r="R28" s="32"/>
      <c r="S28" s="32"/>
      <c r="T28" s="32"/>
      <c r="U28" s="32"/>
    </row>
    <row r="29" spans="1:21" s="40" customFormat="1" ht="13.5" customHeight="1" x14ac:dyDescent="0.25">
      <c r="A29" s="32"/>
      <c r="B29" s="221">
        <v>3</v>
      </c>
      <c r="C29" s="224">
        <f>+C24+$N$12</f>
        <v>6.5</v>
      </c>
      <c r="D29" s="201">
        <v>0.47499999999999998</v>
      </c>
      <c r="E29" s="201">
        <v>0.45400000000000001</v>
      </c>
      <c r="F29" s="41" t="s">
        <v>77</v>
      </c>
      <c r="G29" s="42">
        <v>0</v>
      </c>
      <c r="H29" s="43"/>
      <c r="I29" s="44"/>
      <c r="J29" s="45">
        <v>0.10199999999999999</v>
      </c>
      <c r="K29" s="201">
        <f>+IF(E29&lt;=0.12,(J31),(IF(E29&lt;0.16,((J30+2*J31+J32)/4),IF(E29&gt;=0.16,((J29+3*J30+2*J31+3*J32+J33)/10)))))</f>
        <v>0.16040000000000001</v>
      </c>
      <c r="L29" s="201">
        <f>ROUND(+(D24+D29)/2*(C29-C24),3)</f>
        <v>0.433</v>
      </c>
      <c r="M29" s="201">
        <f>ROUND(+K29*L29,4)</f>
        <v>6.9500000000000006E-2</v>
      </c>
      <c r="N29" s="204">
        <f>ROUND(+M29/$M$113*100,2)</f>
        <v>4.04</v>
      </c>
      <c r="O29" s="205"/>
      <c r="P29" s="206"/>
      <c r="Q29" s="32"/>
      <c r="R29" s="32"/>
      <c r="S29" s="32"/>
      <c r="T29" s="32"/>
      <c r="U29" s="32"/>
    </row>
    <row r="30" spans="1:21" s="40" customFormat="1" ht="13.5" customHeight="1" x14ac:dyDescent="0.25">
      <c r="A30" s="32"/>
      <c r="B30" s="222"/>
      <c r="C30" s="202"/>
      <c r="D30" s="202"/>
      <c r="E30" s="202"/>
      <c r="F30" s="46" t="s">
        <v>78</v>
      </c>
      <c r="G30" s="47">
        <f t="shared" ref="G30" si="0">IF(E29&lt;0.125,"NA",IF(0.125&lt;=E29,(0.2*E29)))</f>
        <v>9.0800000000000006E-2</v>
      </c>
      <c r="H30" s="48"/>
      <c r="I30" s="49"/>
      <c r="J30" s="50">
        <v>0.14399999999999999</v>
      </c>
      <c r="K30" s="202"/>
      <c r="L30" s="202"/>
      <c r="M30" s="202"/>
      <c r="N30" s="202"/>
      <c r="O30" s="202"/>
      <c r="P30" s="207"/>
      <c r="Q30" s="32"/>
      <c r="R30" s="32"/>
      <c r="S30" s="32"/>
      <c r="T30" s="32"/>
      <c r="U30" s="32"/>
    </row>
    <row r="31" spans="1:21" s="40" customFormat="1" ht="13.5" customHeight="1" x14ac:dyDescent="0.25">
      <c r="A31" s="32"/>
      <c r="B31" s="222"/>
      <c r="C31" s="202"/>
      <c r="D31" s="202"/>
      <c r="E31" s="202"/>
      <c r="F31" s="46" t="s">
        <v>79</v>
      </c>
      <c r="G31" s="47">
        <f t="shared" ref="G31" si="1">+E29*0.4</f>
        <v>0.18160000000000001</v>
      </c>
      <c r="H31" s="48"/>
      <c r="I31" s="49"/>
      <c r="J31" s="50">
        <v>0.13700000000000001</v>
      </c>
      <c r="K31" s="202"/>
      <c r="L31" s="202"/>
      <c r="M31" s="202"/>
      <c r="N31" s="202"/>
      <c r="O31" s="202"/>
      <c r="P31" s="207"/>
      <c r="Q31" s="32"/>
      <c r="R31" s="32"/>
      <c r="S31" s="32"/>
      <c r="T31" s="32"/>
      <c r="U31" s="32"/>
    </row>
    <row r="32" spans="1:21" s="40" customFormat="1" ht="13.5" customHeight="1" x14ac:dyDescent="0.25">
      <c r="A32" s="32"/>
      <c r="B32" s="222"/>
      <c r="C32" s="202"/>
      <c r="D32" s="202"/>
      <c r="E32" s="202"/>
      <c r="F32" s="46" t="s">
        <v>80</v>
      </c>
      <c r="G32" s="47">
        <f t="shared" ref="G32" si="2">IF(E29&lt;0.125,"NA",IF(0.125&lt;=E29,(0.8*E29)))</f>
        <v>0.36320000000000002</v>
      </c>
      <c r="H32" s="48"/>
      <c r="I32" s="49"/>
      <c r="J32" s="50">
        <v>0.189</v>
      </c>
      <c r="K32" s="202"/>
      <c r="L32" s="202"/>
      <c r="M32" s="202"/>
      <c r="N32" s="202"/>
      <c r="O32" s="202"/>
      <c r="P32" s="207"/>
      <c r="Q32" s="32"/>
      <c r="R32" s="32"/>
      <c r="S32" s="32"/>
      <c r="T32" s="32"/>
      <c r="U32" s="32"/>
    </row>
    <row r="33" spans="1:21" s="40" customFormat="1" ht="13.5" customHeight="1" thickBot="1" x14ac:dyDescent="0.3">
      <c r="A33" s="32"/>
      <c r="B33" s="223"/>
      <c r="C33" s="203"/>
      <c r="D33" s="203"/>
      <c r="E33" s="203"/>
      <c r="F33" s="51" t="s">
        <v>81</v>
      </c>
      <c r="G33" s="52">
        <f t="shared" ref="G33" si="3">+E29</f>
        <v>0.45400000000000001</v>
      </c>
      <c r="H33" s="53"/>
      <c r="I33" s="54"/>
      <c r="J33" s="55">
        <v>0.22900000000000001</v>
      </c>
      <c r="K33" s="203"/>
      <c r="L33" s="203"/>
      <c r="M33" s="203"/>
      <c r="N33" s="203"/>
      <c r="O33" s="203"/>
      <c r="P33" s="208"/>
      <c r="Q33" s="32"/>
      <c r="R33" s="32"/>
      <c r="S33" s="32"/>
      <c r="T33" s="32"/>
      <c r="U33" s="32"/>
    </row>
    <row r="34" spans="1:21" s="40" customFormat="1" ht="13.5" customHeight="1" x14ac:dyDescent="0.25">
      <c r="A34" s="32"/>
      <c r="B34" s="221">
        <v>4</v>
      </c>
      <c r="C34" s="224">
        <f>+C29+$N$12</f>
        <v>7.5</v>
      </c>
      <c r="D34" s="201">
        <v>0.53</v>
      </c>
      <c r="E34" s="201">
        <v>0.43</v>
      </c>
      <c r="F34" s="41" t="s">
        <v>77</v>
      </c>
      <c r="G34" s="42">
        <v>0</v>
      </c>
      <c r="H34" s="43"/>
      <c r="I34" s="44"/>
      <c r="J34" s="45">
        <v>7.9000000000000001E-2</v>
      </c>
      <c r="K34" s="201">
        <f t="shared" ref="K34" si="4">+IF(E34&lt;=0.12,(J36),(IF(E34&lt;0.16,((J35+2*J36+J37)/4),IF(E34&gt;=0.16,((J34+3*J35+2*J36+3*J37+J38)/10)))))</f>
        <v>0.21100000000000002</v>
      </c>
      <c r="L34" s="201">
        <f>ROUND(+(D29+D34)/2*(C34-C29),3)</f>
        <v>0.503</v>
      </c>
      <c r="M34" s="201">
        <f t="shared" ref="M34" si="5">ROUND(+K34*L34,4)</f>
        <v>0.1061</v>
      </c>
      <c r="N34" s="204">
        <f>ROUND(+M34/$M$113*100,2)</f>
        <v>6.16</v>
      </c>
      <c r="O34" s="205"/>
      <c r="P34" s="206"/>
      <c r="Q34" s="32"/>
      <c r="R34" s="32"/>
      <c r="S34" s="32"/>
      <c r="T34" s="32"/>
      <c r="U34" s="32"/>
    </row>
    <row r="35" spans="1:21" s="40" customFormat="1" ht="13.5" customHeight="1" x14ac:dyDescent="0.25">
      <c r="A35" s="32"/>
      <c r="B35" s="222"/>
      <c r="C35" s="202"/>
      <c r="D35" s="202"/>
      <c r="E35" s="202"/>
      <c r="F35" s="46" t="s">
        <v>78</v>
      </c>
      <c r="G35" s="47">
        <f t="shared" ref="G35" si="6">IF(E34&lt;0.125,"NA",IF(0.125&lt;=E34,(0.2*E34)))</f>
        <v>8.6000000000000007E-2</v>
      </c>
      <c r="H35" s="48"/>
      <c r="I35" s="49"/>
      <c r="J35" s="50">
        <v>9.9000000000000005E-2</v>
      </c>
      <c r="K35" s="202"/>
      <c r="L35" s="202"/>
      <c r="M35" s="202"/>
      <c r="N35" s="202"/>
      <c r="O35" s="202"/>
      <c r="P35" s="207"/>
      <c r="Q35" s="32"/>
      <c r="R35" s="32"/>
      <c r="S35" s="32"/>
      <c r="T35" s="32"/>
      <c r="U35" s="32"/>
    </row>
    <row r="36" spans="1:21" s="40" customFormat="1" ht="13.5" customHeight="1" x14ac:dyDescent="0.25">
      <c r="A36" s="32"/>
      <c r="B36" s="222"/>
      <c r="C36" s="202"/>
      <c r="D36" s="202"/>
      <c r="E36" s="202"/>
      <c r="F36" s="46" t="s">
        <v>79</v>
      </c>
      <c r="G36" s="47">
        <f t="shared" ref="G36" si="7">+E34*0.4</f>
        <v>0.17200000000000001</v>
      </c>
      <c r="H36" s="48"/>
      <c r="I36" s="49"/>
      <c r="J36" s="50">
        <v>0.105</v>
      </c>
      <c r="K36" s="202"/>
      <c r="L36" s="202"/>
      <c r="M36" s="202"/>
      <c r="N36" s="202"/>
      <c r="O36" s="202"/>
      <c r="P36" s="207"/>
      <c r="Q36" s="32"/>
      <c r="R36" s="32"/>
      <c r="S36" s="32"/>
      <c r="T36" s="32"/>
      <c r="U36" s="32"/>
    </row>
    <row r="37" spans="1:21" s="40" customFormat="1" ht="13.5" customHeight="1" x14ac:dyDescent="0.25">
      <c r="A37" s="32"/>
      <c r="B37" s="222"/>
      <c r="C37" s="202"/>
      <c r="D37" s="202"/>
      <c r="E37" s="202"/>
      <c r="F37" s="46" t="s">
        <v>80</v>
      </c>
      <c r="G37" s="47">
        <f t="shared" ref="G37" si="8">IF(E34&lt;0.125,"NA",IF(0.125&lt;=E34,(0.8*E34)))</f>
        <v>0.34400000000000003</v>
      </c>
      <c r="H37" s="48"/>
      <c r="I37" s="49"/>
      <c r="J37" s="50">
        <v>0.375</v>
      </c>
      <c r="K37" s="202"/>
      <c r="L37" s="202"/>
      <c r="M37" s="202"/>
      <c r="N37" s="202"/>
      <c r="O37" s="202"/>
      <c r="P37" s="207"/>
      <c r="Q37" s="32"/>
      <c r="R37" s="32"/>
      <c r="S37" s="32"/>
      <c r="T37" s="32"/>
      <c r="U37" s="32"/>
    </row>
    <row r="38" spans="1:21" s="40" customFormat="1" ht="13.5" customHeight="1" thickBot="1" x14ac:dyDescent="0.3">
      <c r="A38" s="32"/>
      <c r="B38" s="223"/>
      <c r="C38" s="203"/>
      <c r="D38" s="203"/>
      <c r="E38" s="203"/>
      <c r="F38" s="51" t="s">
        <v>81</v>
      </c>
      <c r="G38" s="52">
        <f t="shared" ref="G38" si="9">+E34</f>
        <v>0.43</v>
      </c>
      <c r="H38" s="53"/>
      <c r="I38" s="54"/>
      <c r="J38" s="55">
        <v>0.39900000000000002</v>
      </c>
      <c r="K38" s="203"/>
      <c r="L38" s="203"/>
      <c r="M38" s="203"/>
      <c r="N38" s="203"/>
      <c r="O38" s="203"/>
      <c r="P38" s="208"/>
      <c r="Q38" s="32"/>
      <c r="R38" s="32"/>
      <c r="S38" s="32"/>
      <c r="T38" s="32"/>
      <c r="U38" s="32"/>
    </row>
    <row r="39" spans="1:21" s="40" customFormat="1" ht="13.5" customHeight="1" x14ac:dyDescent="0.25">
      <c r="A39" s="32"/>
      <c r="B39" s="221">
        <v>5</v>
      </c>
      <c r="C39" s="224">
        <f>+C34+$N$12</f>
        <v>8.5</v>
      </c>
      <c r="D39" s="201">
        <v>0.49</v>
      </c>
      <c r="E39" s="201">
        <v>0.495</v>
      </c>
      <c r="F39" s="41" t="s">
        <v>77</v>
      </c>
      <c r="G39" s="42">
        <v>0</v>
      </c>
      <c r="H39" s="43"/>
      <c r="I39" s="44"/>
      <c r="J39" s="45"/>
      <c r="K39" s="201"/>
      <c r="L39" s="201"/>
      <c r="M39" s="201"/>
      <c r="N39" s="204"/>
      <c r="O39" s="205"/>
      <c r="P39" s="206"/>
      <c r="Q39" s="32"/>
      <c r="R39" s="32"/>
      <c r="S39" s="32"/>
      <c r="T39" s="32"/>
      <c r="U39" s="32"/>
    </row>
    <row r="40" spans="1:21" s="40" customFormat="1" ht="13.5" customHeight="1" x14ac:dyDescent="0.25">
      <c r="A40" s="32"/>
      <c r="B40" s="222"/>
      <c r="C40" s="202"/>
      <c r="D40" s="202"/>
      <c r="E40" s="202"/>
      <c r="F40" s="46" t="s">
        <v>78</v>
      </c>
      <c r="G40" s="47">
        <f t="shared" ref="G40" si="10">IF(E39&lt;0.125,"NA",IF(0.125&lt;=E39,(0.2*E39)))</f>
        <v>9.9000000000000005E-2</v>
      </c>
      <c r="H40" s="48"/>
      <c r="I40" s="49"/>
      <c r="J40" s="50"/>
      <c r="K40" s="202"/>
      <c r="L40" s="202"/>
      <c r="M40" s="202"/>
      <c r="N40" s="202"/>
      <c r="O40" s="202"/>
      <c r="P40" s="207"/>
      <c r="Q40" s="32"/>
      <c r="R40" s="32"/>
      <c r="S40" s="32"/>
      <c r="T40" s="32"/>
      <c r="U40" s="32"/>
    </row>
    <row r="41" spans="1:21" s="40" customFormat="1" ht="13.5" customHeight="1" x14ac:dyDescent="0.25">
      <c r="A41" s="32"/>
      <c r="B41" s="222"/>
      <c r="C41" s="202"/>
      <c r="D41" s="202"/>
      <c r="E41" s="202"/>
      <c r="F41" s="46" t="s">
        <v>79</v>
      </c>
      <c r="G41" s="47">
        <f t="shared" ref="G41" si="11">+E39*0.4</f>
        <v>0.19800000000000001</v>
      </c>
      <c r="H41" s="48"/>
      <c r="I41" s="49"/>
      <c r="J41" s="50"/>
      <c r="K41" s="202"/>
      <c r="L41" s="202"/>
      <c r="M41" s="202"/>
      <c r="N41" s="202"/>
      <c r="O41" s="202"/>
      <c r="P41" s="207"/>
      <c r="Q41" s="32"/>
      <c r="R41" s="32"/>
      <c r="S41" s="32"/>
      <c r="T41" s="32"/>
      <c r="U41" s="32"/>
    </row>
    <row r="42" spans="1:21" s="40" customFormat="1" ht="13.5" customHeight="1" x14ac:dyDescent="0.25">
      <c r="A42" s="32"/>
      <c r="B42" s="222"/>
      <c r="C42" s="202"/>
      <c r="D42" s="202"/>
      <c r="E42" s="202"/>
      <c r="F42" s="46" t="s">
        <v>80</v>
      </c>
      <c r="G42" s="47">
        <f t="shared" ref="G42" si="12">IF(E39&lt;0.125,"NA",IF(0.125&lt;=E39,(0.8*E39)))</f>
        <v>0.39600000000000002</v>
      </c>
      <c r="H42" s="48"/>
      <c r="I42" s="49"/>
      <c r="J42" s="50"/>
      <c r="K42" s="202"/>
      <c r="L42" s="202"/>
      <c r="M42" s="202"/>
      <c r="N42" s="202"/>
      <c r="O42" s="202"/>
      <c r="P42" s="207"/>
      <c r="Q42" s="32"/>
      <c r="R42" s="32"/>
      <c r="S42" s="32"/>
      <c r="T42" s="32"/>
      <c r="U42" s="32"/>
    </row>
    <row r="43" spans="1:21" s="40" customFormat="1" ht="13.5" customHeight="1" thickBot="1" x14ac:dyDescent="0.3">
      <c r="A43" s="32"/>
      <c r="B43" s="223"/>
      <c r="C43" s="203"/>
      <c r="D43" s="203"/>
      <c r="E43" s="203"/>
      <c r="F43" s="51" t="s">
        <v>81</v>
      </c>
      <c r="G43" s="52">
        <f t="shared" ref="G43" si="13">+E39</f>
        <v>0.495</v>
      </c>
      <c r="H43" s="53"/>
      <c r="I43" s="54"/>
      <c r="J43" s="55"/>
      <c r="K43" s="203"/>
      <c r="L43" s="203"/>
      <c r="M43" s="203"/>
      <c r="N43" s="203"/>
      <c r="O43" s="203"/>
      <c r="P43" s="208"/>
      <c r="Q43" s="32"/>
      <c r="R43" s="32"/>
      <c r="S43" s="32"/>
      <c r="T43" s="32"/>
      <c r="U43" s="32"/>
    </row>
    <row r="44" spans="1:21" s="40" customFormat="1" ht="13.5" customHeight="1" x14ac:dyDescent="0.25">
      <c r="A44" s="32"/>
      <c r="B44" s="221">
        <v>6</v>
      </c>
      <c r="C44" s="224">
        <f>+C39+$N$12</f>
        <v>9.5</v>
      </c>
      <c r="D44" s="201">
        <v>0.35199999999999998</v>
      </c>
      <c r="E44" s="201">
        <v>0.41099999999999998</v>
      </c>
      <c r="F44" s="41" t="s">
        <v>77</v>
      </c>
      <c r="G44" s="42">
        <v>0</v>
      </c>
      <c r="H44" s="43"/>
      <c r="I44" s="44"/>
      <c r="J44" s="45">
        <v>0.28599999999999998</v>
      </c>
      <c r="K44" s="201">
        <f t="shared" ref="K44" si="14">+IF(E44&lt;=0.12,(J46),(IF(E44&lt;0.16,((J45+2*J46+J47)/4),IF(E44&gt;=0.16,((J44+3*J45+2*J46+3*J47+J48)/10)))))</f>
        <v>0.63480000000000003</v>
      </c>
      <c r="L44" s="201">
        <f>ROUND(+(D39+D44)/2*(C44-C39),3)</f>
        <v>0.42099999999999999</v>
      </c>
      <c r="M44" s="201">
        <f t="shared" ref="M44" si="15">ROUND(+K44*L44,4)</f>
        <v>0.26729999999999998</v>
      </c>
      <c r="N44" s="204">
        <f>ROUND(+M44/$M$113*100,2)</f>
        <v>15.53</v>
      </c>
      <c r="O44" s="205"/>
      <c r="P44" s="206"/>
      <c r="Q44" s="32"/>
      <c r="R44" s="32"/>
      <c r="S44" s="32"/>
      <c r="T44" s="32"/>
      <c r="U44" s="32"/>
    </row>
    <row r="45" spans="1:21" s="40" customFormat="1" ht="13.5" customHeight="1" x14ac:dyDescent="0.25">
      <c r="A45" s="32"/>
      <c r="B45" s="222"/>
      <c r="C45" s="202"/>
      <c r="D45" s="202"/>
      <c r="E45" s="202"/>
      <c r="F45" s="46" t="s">
        <v>78</v>
      </c>
      <c r="G45" s="47">
        <f t="shared" ref="G45" si="16">IF(E44&lt;0.125,"NA",IF(0.125&lt;=E44,(0.2*E44)))</f>
        <v>8.2199999999999995E-2</v>
      </c>
      <c r="H45" s="48"/>
      <c r="I45" s="49"/>
      <c r="J45" s="50">
        <v>0.56100000000000005</v>
      </c>
      <c r="K45" s="202"/>
      <c r="L45" s="202"/>
      <c r="M45" s="202"/>
      <c r="N45" s="202"/>
      <c r="O45" s="202"/>
      <c r="P45" s="207"/>
      <c r="Q45" s="32"/>
      <c r="R45" s="32"/>
      <c r="S45" s="32"/>
      <c r="T45" s="32"/>
      <c r="U45" s="32"/>
    </row>
    <row r="46" spans="1:21" s="40" customFormat="1" ht="13.5" customHeight="1" x14ac:dyDescent="0.25">
      <c r="A46" s="32"/>
      <c r="B46" s="222"/>
      <c r="C46" s="202"/>
      <c r="D46" s="202"/>
      <c r="E46" s="202"/>
      <c r="F46" s="46" t="s">
        <v>79</v>
      </c>
      <c r="G46" s="47">
        <f t="shared" ref="G46" si="17">+E44*0.4</f>
        <v>0.16439999999999999</v>
      </c>
      <c r="H46" s="48"/>
      <c r="I46" s="49"/>
      <c r="J46" s="50">
        <v>0.64700000000000002</v>
      </c>
      <c r="K46" s="202"/>
      <c r="L46" s="202"/>
      <c r="M46" s="202"/>
      <c r="N46" s="202"/>
      <c r="O46" s="202"/>
      <c r="P46" s="207"/>
      <c r="Q46" s="32"/>
      <c r="R46" s="32"/>
      <c r="S46" s="32"/>
      <c r="T46" s="32"/>
      <c r="U46" s="32"/>
    </row>
    <row r="47" spans="1:21" s="40" customFormat="1" ht="13.5" customHeight="1" x14ac:dyDescent="0.25">
      <c r="A47" s="32"/>
      <c r="B47" s="222"/>
      <c r="C47" s="202"/>
      <c r="D47" s="202"/>
      <c r="E47" s="202"/>
      <c r="F47" s="46" t="s">
        <v>80</v>
      </c>
      <c r="G47" s="47">
        <f t="shared" ref="G47" si="18">IF(E44&lt;0.125,"NA",IF(0.125&lt;=E44,(0.8*E44)))</f>
        <v>0.32879999999999998</v>
      </c>
      <c r="H47" s="48"/>
      <c r="I47" s="49"/>
      <c r="J47" s="50">
        <v>0.75600000000000001</v>
      </c>
      <c r="K47" s="202"/>
      <c r="L47" s="202"/>
      <c r="M47" s="202"/>
      <c r="N47" s="202"/>
      <c r="O47" s="202"/>
      <c r="P47" s="207"/>
      <c r="Q47" s="32"/>
      <c r="R47" s="32"/>
      <c r="S47" s="32"/>
      <c r="T47" s="32"/>
      <c r="U47" s="32"/>
    </row>
    <row r="48" spans="1:21" s="40" customFormat="1" ht="13.5" customHeight="1" thickBot="1" x14ac:dyDescent="0.3">
      <c r="A48" s="32"/>
      <c r="B48" s="223"/>
      <c r="C48" s="203"/>
      <c r="D48" s="203"/>
      <c r="E48" s="203"/>
      <c r="F48" s="51" t="s">
        <v>81</v>
      </c>
      <c r="G48" s="52">
        <f t="shared" ref="G48" si="19">+E44</f>
        <v>0.41099999999999998</v>
      </c>
      <c r="H48" s="53"/>
      <c r="I48" s="54"/>
      <c r="J48" s="55">
        <v>0.81699999999999995</v>
      </c>
      <c r="K48" s="203"/>
      <c r="L48" s="203"/>
      <c r="M48" s="203"/>
      <c r="N48" s="203"/>
      <c r="O48" s="203"/>
      <c r="P48" s="208"/>
      <c r="Q48" s="32"/>
      <c r="R48" s="32"/>
      <c r="S48" s="32"/>
      <c r="T48" s="32"/>
      <c r="U48" s="32"/>
    </row>
    <row r="49" spans="1:21" s="40" customFormat="1" ht="13.5" customHeight="1" x14ac:dyDescent="0.25">
      <c r="A49" s="32"/>
      <c r="B49" s="221">
        <v>7</v>
      </c>
      <c r="C49" s="224">
        <f t="shared" ref="C49" si="20">+C44+$N$12</f>
        <v>10.5</v>
      </c>
      <c r="D49" s="201">
        <v>0.15</v>
      </c>
      <c r="E49" s="201">
        <v>0.23100000000000001</v>
      </c>
      <c r="F49" s="41" t="s">
        <v>77</v>
      </c>
      <c r="G49" s="42">
        <v>0</v>
      </c>
      <c r="H49" s="43"/>
      <c r="I49" s="44"/>
      <c r="J49" s="45">
        <v>0.27</v>
      </c>
      <c r="K49" s="201">
        <f t="shared" ref="K49" si="21">+IF(E49&lt;=0.12,(J51),(IF(E49&lt;0.16,((J50+2*J51+J52)/4),IF(E49&gt;=0.16,((J49+3*J50+2*J51+3*J52+J53)/10)))))</f>
        <v>0.57420000000000004</v>
      </c>
      <c r="L49" s="201">
        <f>ROUND(+(D44+D49)/2*(C49-C44),3)</f>
        <v>0.251</v>
      </c>
      <c r="M49" s="201">
        <f t="shared" ref="M49" si="22">ROUND(+K49*L49,4)</f>
        <v>0.14410000000000001</v>
      </c>
      <c r="N49" s="204">
        <f>ROUND(+M49/$M$113*100,2)</f>
        <v>8.3699999999999992</v>
      </c>
      <c r="O49" s="205"/>
      <c r="P49" s="206"/>
      <c r="Q49" s="32"/>
      <c r="R49" s="32"/>
      <c r="S49" s="32"/>
      <c r="T49" s="32"/>
      <c r="U49" s="32"/>
    </row>
    <row r="50" spans="1:21" s="40" customFormat="1" ht="13.5" customHeight="1" x14ac:dyDescent="0.25">
      <c r="A50" s="32"/>
      <c r="B50" s="222"/>
      <c r="C50" s="202"/>
      <c r="D50" s="202"/>
      <c r="E50" s="202"/>
      <c r="F50" s="46" t="s">
        <v>78</v>
      </c>
      <c r="G50" s="47">
        <f t="shared" ref="G50" si="23">IF(E49&lt;0.125,"NA",IF(0.125&lt;=E49,(0.2*E49)))</f>
        <v>4.6200000000000005E-2</v>
      </c>
      <c r="H50" s="48"/>
      <c r="I50" s="49"/>
      <c r="J50" s="50">
        <v>0.47799999999999998</v>
      </c>
      <c r="K50" s="202"/>
      <c r="L50" s="202"/>
      <c r="M50" s="202"/>
      <c r="N50" s="202"/>
      <c r="O50" s="202"/>
      <c r="P50" s="207"/>
      <c r="Q50" s="32"/>
      <c r="R50" s="32"/>
      <c r="S50" s="32"/>
      <c r="T50" s="32"/>
      <c r="U50" s="32"/>
    </row>
    <row r="51" spans="1:21" s="40" customFormat="1" ht="13.5" customHeight="1" x14ac:dyDescent="0.25">
      <c r="A51" s="32"/>
      <c r="B51" s="222"/>
      <c r="C51" s="202"/>
      <c r="D51" s="202"/>
      <c r="E51" s="202"/>
      <c r="F51" s="46" t="s">
        <v>79</v>
      </c>
      <c r="G51" s="47">
        <f t="shared" ref="G51" si="24">+E49*0.4</f>
        <v>9.240000000000001E-2</v>
      </c>
      <c r="H51" s="48"/>
      <c r="I51" s="49"/>
      <c r="J51" s="50">
        <v>0.61099999999999999</v>
      </c>
      <c r="K51" s="202"/>
      <c r="L51" s="202"/>
      <c r="M51" s="202"/>
      <c r="N51" s="202"/>
      <c r="O51" s="202"/>
      <c r="P51" s="207"/>
      <c r="Q51" s="32"/>
      <c r="R51" s="32"/>
      <c r="S51" s="32"/>
      <c r="T51" s="32"/>
      <c r="U51" s="32"/>
    </row>
    <row r="52" spans="1:21" s="40" customFormat="1" ht="13.5" customHeight="1" x14ac:dyDescent="0.25">
      <c r="A52" s="32"/>
      <c r="B52" s="222"/>
      <c r="C52" s="202"/>
      <c r="D52" s="202"/>
      <c r="E52" s="202"/>
      <c r="F52" s="46" t="s">
        <v>80</v>
      </c>
      <c r="G52" s="47">
        <f t="shared" ref="G52" si="25">IF(E49&lt;0.125,"NA",IF(0.125&lt;=E49,(0.8*E49)))</f>
        <v>0.18480000000000002</v>
      </c>
      <c r="H52" s="48"/>
      <c r="I52" s="49"/>
      <c r="J52" s="50">
        <v>0.69499999999999995</v>
      </c>
      <c r="K52" s="202"/>
      <c r="L52" s="202"/>
      <c r="M52" s="202"/>
      <c r="N52" s="202"/>
      <c r="O52" s="202"/>
      <c r="P52" s="207"/>
      <c r="Q52" s="32"/>
      <c r="R52" s="32"/>
      <c r="S52" s="32"/>
      <c r="T52" s="32"/>
      <c r="U52" s="32"/>
    </row>
    <row r="53" spans="1:21" s="40" customFormat="1" ht="13.5" customHeight="1" thickBot="1" x14ac:dyDescent="0.3">
      <c r="A53" s="32"/>
      <c r="B53" s="223"/>
      <c r="C53" s="203"/>
      <c r="D53" s="203"/>
      <c r="E53" s="203"/>
      <c r="F53" s="51" t="s">
        <v>81</v>
      </c>
      <c r="G53" s="52">
        <f t="shared" ref="G53" si="26">+E49</f>
        <v>0.23100000000000001</v>
      </c>
      <c r="H53" s="53"/>
      <c r="I53" s="54"/>
      <c r="J53" s="55">
        <v>0.73099999999999998</v>
      </c>
      <c r="K53" s="203"/>
      <c r="L53" s="203"/>
      <c r="M53" s="203"/>
      <c r="N53" s="203"/>
      <c r="O53" s="203"/>
      <c r="P53" s="208"/>
      <c r="Q53" s="32"/>
      <c r="R53" s="32"/>
      <c r="S53" s="32"/>
      <c r="T53" s="32"/>
      <c r="U53" s="32"/>
    </row>
    <row r="54" spans="1:21" s="40" customFormat="1" ht="13.5" customHeight="1" x14ac:dyDescent="0.25">
      <c r="A54" s="32"/>
      <c r="B54" s="221">
        <v>8</v>
      </c>
      <c r="C54" s="224">
        <f t="shared" ref="C54" si="27">+C49+$N$12</f>
        <v>11.5</v>
      </c>
      <c r="D54" s="201">
        <v>0.128</v>
      </c>
      <c r="E54" s="201">
        <v>0.16</v>
      </c>
      <c r="F54" s="41" t="s">
        <v>77</v>
      </c>
      <c r="G54" s="42">
        <v>0</v>
      </c>
      <c r="H54" s="43"/>
      <c r="I54" s="44"/>
      <c r="J54" s="45">
        <v>0.33300000000000002</v>
      </c>
      <c r="K54" s="201">
        <f t="shared" ref="K54" si="28">+IF(E54&lt;=0.12,(J56),(IF(E54&lt;0.16,((J55+2*J56+J57)/4),IF(E54&gt;=0.16,((J54+3*J55+2*J56+3*J57+J58)/10)))))</f>
        <v>0.45829999999999993</v>
      </c>
      <c r="L54" s="201">
        <f>ROUND(+(D49+D54)/2*(C54-C49),3)</f>
        <v>0.13900000000000001</v>
      </c>
      <c r="M54" s="201">
        <f t="shared" ref="M54" si="29">ROUND(+K54*L54,4)</f>
        <v>6.3700000000000007E-2</v>
      </c>
      <c r="N54" s="204">
        <f>ROUND(+M54/$M$113*100,2)</f>
        <v>3.7</v>
      </c>
      <c r="O54" s="205"/>
      <c r="P54" s="206"/>
      <c r="Q54" s="32"/>
      <c r="R54" s="32"/>
      <c r="S54" s="32"/>
      <c r="T54" s="32"/>
      <c r="U54" s="32"/>
    </row>
    <row r="55" spans="1:21" s="40" customFormat="1" ht="13.5" customHeight="1" x14ac:dyDescent="0.25">
      <c r="A55" s="32"/>
      <c r="B55" s="222"/>
      <c r="C55" s="202"/>
      <c r="D55" s="202"/>
      <c r="E55" s="202"/>
      <c r="F55" s="46" t="s">
        <v>78</v>
      </c>
      <c r="G55" s="47">
        <f t="shared" ref="G55" si="30">IF(E54&lt;0.125,"NA",IF(0.125&lt;=E54,(0.2*E54)))</f>
        <v>3.2000000000000001E-2</v>
      </c>
      <c r="H55" s="48"/>
      <c r="I55" s="49"/>
      <c r="J55" s="50">
        <v>0.39800000000000002</v>
      </c>
      <c r="K55" s="202"/>
      <c r="L55" s="202"/>
      <c r="M55" s="202"/>
      <c r="N55" s="202"/>
      <c r="O55" s="202"/>
      <c r="P55" s="207"/>
      <c r="Q55" s="32"/>
      <c r="R55" s="32"/>
      <c r="S55" s="32"/>
      <c r="T55" s="32"/>
      <c r="U55" s="32"/>
    </row>
    <row r="56" spans="1:21" s="40" customFormat="1" ht="13.5" customHeight="1" x14ac:dyDescent="0.25">
      <c r="A56" s="32"/>
      <c r="B56" s="222"/>
      <c r="C56" s="202"/>
      <c r="D56" s="202"/>
      <c r="E56" s="202"/>
      <c r="F56" s="46" t="s">
        <v>79</v>
      </c>
      <c r="G56" s="47">
        <f t="shared" ref="G56" si="31">+E54*0.4</f>
        <v>6.4000000000000001E-2</v>
      </c>
      <c r="H56" s="48"/>
      <c r="I56" s="49"/>
      <c r="J56" s="50">
        <v>0.49099999999999999</v>
      </c>
      <c r="K56" s="202"/>
      <c r="L56" s="202"/>
      <c r="M56" s="202"/>
      <c r="N56" s="202"/>
      <c r="O56" s="202"/>
      <c r="P56" s="207"/>
      <c r="Q56" s="32"/>
      <c r="R56" s="32"/>
      <c r="S56" s="32"/>
      <c r="T56" s="32"/>
      <c r="U56" s="32"/>
    </row>
    <row r="57" spans="1:21" s="40" customFormat="1" ht="13.5" customHeight="1" x14ac:dyDescent="0.25">
      <c r="A57" s="32"/>
      <c r="B57" s="222"/>
      <c r="C57" s="202"/>
      <c r="D57" s="202"/>
      <c r="E57" s="202"/>
      <c r="F57" s="46" t="s">
        <v>80</v>
      </c>
      <c r="G57" s="47">
        <f t="shared" ref="G57" si="32">IF(E54&lt;0.125,"NA",IF(0.125&lt;=E54,(0.8*E54)))</f>
        <v>0.128</v>
      </c>
      <c r="H57" s="48"/>
      <c r="I57" s="49"/>
      <c r="J57" s="50">
        <v>0.50900000000000001</v>
      </c>
      <c r="K57" s="202"/>
      <c r="L57" s="202"/>
      <c r="M57" s="202"/>
      <c r="N57" s="202"/>
      <c r="O57" s="202"/>
      <c r="P57" s="207"/>
      <c r="Q57" s="32"/>
      <c r="R57" s="32"/>
      <c r="S57" s="32"/>
      <c r="T57" s="32"/>
      <c r="U57" s="32"/>
    </row>
    <row r="58" spans="1:21" s="40" customFormat="1" ht="13.5" customHeight="1" thickBot="1" x14ac:dyDescent="0.3">
      <c r="A58" s="32"/>
      <c r="B58" s="223"/>
      <c r="C58" s="203"/>
      <c r="D58" s="203"/>
      <c r="E58" s="203"/>
      <c r="F58" s="51" t="s">
        <v>81</v>
      </c>
      <c r="G58" s="52">
        <f t="shared" ref="G58" si="33">+E54</f>
        <v>0.16</v>
      </c>
      <c r="H58" s="53"/>
      <c r="I58" s="54"/>
      <c r="J58" s="55">
        <v>0.54700000000000004</v>
      </c>
      <c r="K58" s="203"/>
      <c r="L58" s="203"/>
      <c r="M58" s="203"/>
      <c r="N58" s="203"/>
      <c r="O58" s="203"/>
      <c r="P58" s="208"/>
      <c r="Q58" s="32"/>
      <c r="R58" s="32"/>
      <c r="S58" s="32"/>
      <c r="T58" s="32"/>
      <c r="U58" s="32"/>
    </row>
    <row r="59" spans="1:21" s="40" customFormat="1" ht="13.5" customHeight="1" x14ac:dyDescent="0.25">
      <c r="A59" s="32"/>
      <c r="B59" s="221">
        <v>9</v>
      </c>
      <c r="C59" s="224">
        <f>+C54+$N$12</f>
        <v>12.5</v>
      </c>
      <c r="D59" s="201">
        <v>0.104</v>
      </c>
      <c r="E59" s="201">
        <v>8.6999999999999994E-2</v>
      </c>
      <c r="F59" s="41" t="s">
        <v>77</v>
      </c>
      <c r="G59" s="42">
        <v>0</v>
      </c>
      <c r="H59" s="43"/>
      <c r="I59" s="44"/>
      <c r="J59" s="45">
        <v>0.23</v>
      </c>
      <c r="K59" s="201">
        <f t="shared" ref="K59" si="34">+IF(E59&lt;=0.12,(J61),(IF(E59&lt;0.16,((J60+2*J61+J62)/4),IF(E59&gt;=0.16,((J59+3*J60+2*J61+3*J62+J63)/10)))))</f>
        <v>0.29699999999999999</v>
      </c>
      <c r="L59" s="201">
        <f>ROUND(+(D54+D59)/2*(C59-C54),3)</f>
        <v>0.11600000000000001</v>
      </c>
      <c r="M59" s="201">
        <f t="shared" ref="M59" si="35">ROUND(+K59*L59,4)</f>
        <v>3.4500000000000003E-2</v>
      </c>
      <c r="N59" s="204">
        <f>ROUND(+M59/$M$113*100,2)</f>
        <v>2</v>
      </c>
      <c r="O59" s="205"/>
      <c r="P59" s="206"/>
      <c r="Q59" s="32"/>
      <c r="R59" s="32"/>
      <c r="S59" s="32"/>
      <c r="T59" s="32"/>
      <c r="U59" s="32"/>
    </row>
    <row r="60" spans="1:21" s="40" customFormat="1" ht="13.5" customHeight="1" x14ac:dyDescent="0.25">
      <c r="A60" s="32"/>
      <c r="B60" s="222"/>
      <c r="C60" s="202"/>
      <c r="D60" s="202"/>
      <c r="E60" s="202"/>
      <c r="F60" s="46" t="s">
        <v>78</v>
      </c>
      <c r="G60" s="47" t="str">
        <f t="shared" ref="G60" si="36">IF(E59&lt;0.125,"NA",IF(0.125&lt;=E59,(0.2*E59)))</f>
        <v>NA</v>
      </c>
      <c r="H60" s="48"/>
      <c r="I60" s="49"/>
      <c r="J60" s="50"/>
      <c r="K60" s="202"/>
      <c r="L60" s="202"/>
      <c r="M60" s="202"/>
      <c r="N60" s="202"/>
      <c r="O60" s="202"/>
      <c r="P60" s="207"/>
      <c r="Q60" s="32"/>
      <c r="R60" s="32"/>
      <c r="S60" s="32"/>
      <c r="T60" s="32"/>
      <c r="U60" s="32"/>
    </row>
    <row r="61" spans="1:21" s="40" customFormat="1" ht="13.5" customHeight="1" x14ac:dyDescent="0.25">
      <c r="A61" s="32"/>
      <c r="B61" s="222"/>
      <c r="C61" s="202"/>
      <c r="D61" s="202"/>
      <c r="E61" s="202"/>
      <c r="F61" s="46" t="s">
        <v>79</v>
      </c>
      <c r="G61" s="47">
        <f t="shared" ref="G61" si="37">+E59*0.4</f>
        <v>3.4799999999999998E-2</v>
      </c>
      <c r="H61" s="48"/>
      <c r="I61" s="49"/>
      <c r="J61" s="50">
        <v>0.29699999999999999</v>
      </c>
      <c r="K61" s="202"/>
      <c r="L61" s="202"/>
      <c r="M61" s="202"/>
      <c r="N61" s="202"/>
      <c r="O61" s="202"/>
      <c r="P61" s="207"/>
      <c r="Q61" s="32"/>
      <c r="R61" s="32"/>
      <c r="S61" s="32"/>
      <c r="T61" s="32"/>
      <c r="U61" s="32"/>
    </row>
    <row r="62" spans="1:21" s="40" customFormat="1" ht="13.5" customHeight="1" x14ac:dyDescent="0.25">
      <c r="A62" s="32"/>
      <c r="B62" s="222"/>
      <c r="C62" s="202"/>
      <c r="D62" s="202"/>
      <c r="E62" s="202"/>
      <c r="F62" s="46" t="s">
        <v>80</v>
      </c>
      <c r="G62" s="47" t="str">
        <f t="shared" ref="G62" si="38">IF(E59&lt;0.125,"NA",IF(0.125&lt;=E59,(0.8*E59)))</f>
        <v>NA</v>
      </c>
      <c r="H62" s="48"/>
      <c r="I62" s="49"/>
      <c r="J62" s="50"/>
      <c r="K62" s="202"/>
      <c r="L62" s="202"/>
      <c r="M62" s="202"/>
      <c r="N62" s="202"/>
      <c r="O62" s="202"/>
      <c r="P62" s="207"/>
      <c r="Q62" s="32"/>
      <c r="R62" s="32"/>
      <c r="S62" s="32"/>
      <c r="T62" s="32"/>
      <c r="U62" s="32"/>
    </row>
    <row r="63" spans="1:21" s="40" customFormat="1" ht="13.5" customHeight="1" thickBot="1" x14ac:dyDescent="0.3">
      <c r="A63" s="32"/>
      <c r="B63" s="223"/>
      <c r="C63" s="203"/>
      <c r="D63" s="203"/>
      <c r="E63" s="203"/>
      <c r="F63" s="51" t="s">
        <v>81</v>
      </c>
      <c r="G63" s="52">
        <f t="shared" ref="G63" si="39">+E59</f>
        <v>8.6999999999999994E-2</v>
      </c>
      <c r="H63" s="53"/>
      <c r="I63" s="54"/>
      <c r="J63" s="55">
        <v>0.3</v>
      </c>
      <c r="K63" s="203"/>
      <c r="L63" s="203"/>
      <c r="M63" s="203"/>
      <c r="N63" s="203"/>
      <c r="O63" s="203"/>
      <c r="P63" s="208"/>
      <c r="Q63" s="32"/>
      <c r="R63" s="32"/>
      <c r="S63" s="32"/>
      <c r="T63" s="32"/>
      <c r="U63" s="32"/>
    </row>
    <row r="64" spans="1:21" s="40" customFormat="1" ht="13.5" customHeight="1" x14ac:dyDescent="0.25">
      <c r="A64" s="32"/>
      <c r="B64" s="221">
        <v>10</v>
      </c>
      <c r="C64" s="224">
        <f t="shared" ref="C64" si="40">+C59+$N$12</f>
        <v>13.5</v>
      </c>
      <c r="D64" s="201">
        <v>0.114</v>
      </c>
      <c r="E64" s="201">
        <v>0.112</v>
      </c>
      <c r="F64" s="41" t="s">
        <v>77</v>
      </c>
      <c r="G64" s="42">
        <v>0</v>
      </c>
      <c r="H64" s="43"/>
      <c r="I64" s="44"/>
      <c r="J64" s="45">
        <v>0.24099999999999999</v>
      </c>
      <c r="K64" s="201">
        <f t="shared" ref="K64" si="41">+IF(E64&lt;=0.12,(J66),(IF(E64&lt;0.16,((J65+2*J66+J67)/4),IF(E64&gt;=0.16,((J64+3*J65+2*J66+3*J67+J68)/10)))))</f>
        <v>0.36899999999999999</v>
      </c>
      <c r="L64" s="201">
        <f>ROUND(+(D59+D64)/2*(C64-C59),3)</f>
        <v>0.109</v>
      </c>
      <c r="M64" s="201">
        <f t="shared" ref="M64" si="42">ROUND(+K64*L64,4)</f>
        <v>4.02E-2</v>
      </c>
      <c r="N64" s="204">
        <f>ROUND(+M64/$M$113*100,2)</f>
        <v>2.33</v>
      </c>
      <c r="O64" s="205"/>
      <c r="P64" s="206"/>
      <c r="Q64" s="32"/>
      <c r="R64" s="32"/>
      <c r="S64" s="32"/>
      <c r="T64" s="32"/>
      <c r="U64" s="32"/>
    </row>
    <row r="65" spans="1:21" s="40" customFormat="1" ht="13.5" customHeight="1" x14ac:dyDescent="0.25">
      <c r="A65" s="32"/>
      <c r="B65" s="222"/>
      <c r="C65" s="202"/>
      <c r="D65" s="202"/>
      <c r="E65" s="202"/>
      <c r="F65" s="46" t="s">
        <v>78</v>
      </c>
      <c r="G65" s="47" t="str">
        <f t="shared" ref="G65" si="43">IF(E64&lt;0.125,"NA",IF(0.125&lt;=E64,(0.2*E64)))</f>
        <v>NA</v>
      </c>
      <c r="H65" s="48"/>
      <c r="I65" s="49"/>
      <c r="J65" s="50"/>
      <c r="K65" s="202"/>
      <c r="L65" s="202"/>
      <c r="M65" s="202"/>
      <c r="N65" s="202"/>
      <c r="O65" s="202"/>
      <c r="P65" s="207"/>
      <c r="Q65" s="32"/>
      <c r="R65" s="32"/>
      <c r="S65" s="32"/>
      <c r="T65" s="32"/>
      <c r="U65" s="32"/>
    </row>
    <row r="66" spans="1:21" s="40" customFormat="1" ht="13.5" customHeight="1" x14ac:dyDescent="0.25">
      <c r="A66" s="32"/>
      <c r="B66" s="222"/>
      <c r="C66" s="202"/>
      <c r="D66" s="202"/>
      <c r="E66" s="202"/>
      <c r="F66" s="46" t="s">
        <v>79</v>
      </c>
      <c r="G66" s="47">
        <f t="shared" ref="G66" si="44">+E64*0.4</f>
        <v>4.4800000000000006E-2</v>
      </c>
      <c r="H66" s="48"/>
      <c r="I66" s="49"/>
      <c r="J66" s="50">
        <v>0.36899999999999999</v>
      </c>
      <c r="K66" s="202"/>
      <c r="L66" s="202"/>
      <c r="M66" s="202"/>
      <c r="N66" s="202"/>
      <c r="O66" s="202"/>
      <c r="P66" s="207"/>
      <c r="Q66" s="32"/>
      <c r="R66" s="32"/>
      <c r="S66" s="32"/>
      <c r="T66" s="32"/>
      <c r="U66" s="32"/>
    </row>
    <row r="67" spans="1:21" s="40" customFormat="1" ht="13.5" customHeight="1" x14ac:dyDescent="0.25">
      <c r="A67" s="32"/>
      <c r="B67" s="222"/>
      <c r="C67" s="202"/>
      <c r="D67" s="202"/>
      <c r="E67" s="202"/>
      <c r="F67" s="46" t="s">
        <v>80</v>
      </c>
      <c r="G67" s="47" t="str">
        <f t="shared" ref="G67" si="45">IF(E64&lt;0.125,"NA",IF(0.125&lt;=E64,(0.8*E64)))</f>
        <v>NA</v>
      </c>
      <c r="H67" s="48"/>
      <c r="I67" s="49"/>
      <c r="J67" s="50"/>
      <c r="K67" s="202"/>
      <c r="L67" s="202"/>
      <c r="M67" s="202"/>
      <c r="N67" s="202"/>
      <c r="O67" s="202"/>
      <c r="P67" s="207"/>
      <c r="Q67" s="32"/>
      <c r="R67" s="32"/>
      <c r="S67" s="32"/>
      <c r="T67" s="32"/>
      <c r="U67" s="32"/>
    </row>
    <row r="68" spans="1:21" s="40" customFormat="1" ht="13.5" customHeight="1" thickBot="1" x14ac:dyDescent="0.3">
      <c r="A68" s="32"/>
      <c r="B68" s="223"/>
      <c r="C68" s="203"/>
      <c r="D68" s="203"/>
      <c r="E68" s="203"/>
      <c r="F68" s="51" t="s">
        <v>81</v>
      </c>
      <c r="G68" s="52">
        <f t="shared" ref="G68" si="46">+E64</f>
        <v>0.112</v>
      </c>
      <c r="H68" s="53"/>
      <c r="I68" s="54"/>
      <c r="J68" s="55">
        <v>0.372</v>
      </c>
      <c r="K68" s="203"/>
      <c r="L68" s="203"/>
      <c r="M68" s="203"/>
      <c r="N68" s="203"/>
      <c r="O68" s="203"/>
      <c r="P68" s="208"/>
      <c r="Q68" s="32"/>
      <c r="R68" s="32"/>
      <c r="S68" s="32"/>
      <c r="T68" s="32"/>
      <c r="U68" s="32"/>
    </row>
    <row r="69" spans="1:21" s="40" customFormat="1" ht="13.5" customHeight="1" x14ac:dyDescent="0.25">
      <c r="A69" s="32"/>
      <c r="B69" s="221">
        <v>11</v>
      </c>
      <c r="C69" s="224">
        <f>+C64+$N$12</f>
        <v>14.5</v>
      </c>
      <c r="D69" s="201">
        <v>0.19700000000000001</v>
      </c>
      <c r="E69" s="201">
        <v>0.115</v>
      </c>
      <c r="F69" s="41" t="s">
        <v>77</v>
      </c>
      <c r="G69" s="42">
        <v>0</v>
      </c>
      <c r="H69" s="43"/>
      <c r="I69" s="44"/>
      <c r="J69" s="45">
        <v>0.28699999999999998</v>
      </c>
      <c r="K69" s="201">
        <f t="shared" ref="K69" si="47">+IF(E69&lt;=0.12,(J71),(IF(E69&lt;0.16,((J70+2*J71+J72)/4),IF(E69&gt;=0.16,((J69+3*J70+2*J71+3*J72+J73)/10)))))</f>
        <v>0.35199999999999998</v>
      </c>
      <c r="L69" s="201">
        <f>ROUND(+(D64+D69)/2*(C69-C64),3)</f>
        <v>0.156</v>
      </c>
      <c r="M69" s="201">
        <f t="shared" ref="M69" si="48">ROUND(+K69*L69,4)</f>
        <v>5.4899999999999997E-2</v>
      </c>
      <c r="N69" s="204">
        <f>ROUND(+M69/$M$113*100,2)</f>
        <v>3.19</v>
      </c>
      <c r="O69" s="205"/>
      <c r="P69" s="206"/>
      <c r="Q69" s="32"/>
      <c r="R69" s="32"/>
      <c r="S69" s="32"/>
      <c r="T69" s="32"/>
      <c r="U69" s="32"/>
    </row>
    <row r="70" spans="1:21" s="40" customFormat="1" ht="13.5" customHeight="1" x14ac:dyDescent="0.25">
      <c r="A70" s="32"/>
      <c r="B70" s="222"/>
      <c r="C70" s="202"/>
      <c r="D70" s="202"/>
      <c r="E70" s="202"/>
      <c r="F70" s="46" t="s">
        <v>78</v>
      </c>
      <c r="G70" s="47" t="str">
        <f t="shared" ref="G70" si="49">IF(E69&lt;0.125,"NA",IF(0.125&lt;=E69,(0.2*E69)))</f>
        <v>NA</v>
      </c>
      <c r="H70" s="48"/>
      <c r="I70" s="49"/>
      <c r="J70" s="50"/>
      <c r="K70" s="202"/>
      <c r="L70" s="202"/>
      <c r="M70" s="202"/>
      <c r="N70" s="202"/>
      <c r="O70" s="202"/>
      <c r="P70" s="207"/>
      <c r="Q70" s="32"/>
      <c r="R70" s="32"/>
      <c r="S70" s="32"/>
      <c r="T70" s="32"/>
      <c r="U70" s="32"/>
    </row>
    <row r="71" spans="1:21" s="40" customFormat="1" ht="13.5" customHeight="1" x14ac:dyDescent="0.25">
      <c r="A71" s="32"/>
      <c r="B71" s="222"/>
      <c r="C71" s="202"/>
      <c r="D71" s="202"/>
      <c r="E71" s="202"/>
      <c r="F71" s="46" t="s">
        <v>79</v>
      </c>
      <c r="G71" s="47">
        <f t="shared" ref="G71" si="50">+E69*0.4</f>
        <v>4.6000000000000006E-2</v>
      </c>
      <c r="H71" s="48"/>
      <c r="I71" s="49"/>
      <c r="J71" s="50">
        <v>0.35199999999999998</v>
      </c>
      <c r="K71" s="202"/>
      <c r="L71" s="202"/>
      <c r="M71" s="202"/>
      <c r="N71" s="202"/>
      <c r="O71" s="202"/>
      <c r="P71" s="207"/>
      <c r="Q71" s="32"/>
      <c r="R71" s="32"/>
      <c r="S71" s="32"/>
      <c r="T71" s="32"/>
      <c r="U71" s="32"/>
    </row>
    <row r="72" spans="1:21" s="40" customFormat="1" ht="13.5" customHeight="1" x14ac:dyDescent="0.25">
      <c r="A72" s="32"/>
      <c r="B72" s="222"/>
      <c r="C72" s="202"/>
      <c r="D72" s="202"/>
      <c r="E72" s="202"/>
      <c r="F72" s="46" t="s">
        <v>80</v>
      </c>
      <c r="G72" s="47" t="str">
        <f t="shared" ref="G72" si="51">IF(E69&lt;0.125,"NA",IF(0.125&lt;=E69,(0.8*E69)))</f>
        <v>NA</v>
      </c>
      <c r="H72" s="48"/>
      <c r="I72" s="49"/>
      <c r="J72" s="50"/>
      <c r="K72" s="202"/>
      <c r="L72" s="202"/>
      <c r="M72" s="202"/>
      <c r="N72" s="202"/>
      <c r="O72" s="202"/>
      <c r="P72" s="207"/>
      <c r="Q72" s="32"/>
      <c r="R72" s="32"/>
      <c r="S72" s="32"/>
      <c r="T72" s="32"/>
      <c r="U72" s="32"/>
    </row>
    <row r="73" spans="1:21" s="40" customFormat="1" ht="13.5" customHeight="1" thickBot="1" x14ac:dyDescent="0.3">
      <c r="A73" s="32"/>
      <c r="B73" s="223"/>
      <c r="C73" s="203"/>
      <c r="D73" s="203"/>
      <c r="E73" s="203"/>
      <c r="F73" s="51" t="s">
        <v>81</v>
      </c>
      <c r="G73" s="52">
        <f t="shared" ref="G73" si="52">+E69</f>
        <v>0.115</v>
      </c>
      <c r="H73" s="53"/>
      <c r="I73" s="54"/>
      <c r="J73" s="55">
        <v>0.442</v>
      </c>
      <c r="K73" s="203"/>
      <c r="L73" s="203"/>
      <c r="M73" s="203"/>
      <c r="N73" s="203"/>
      <c r="O73" s="203"/>
      <c r="P73" s="208"/>
      <c r="Q73" s="32"/>
      <c r="R73" s="32"/>
      <c r="S73" s="32"/>
      <c r="T73" s="32"/>
      <c r="U73" s="32"/>
    </row>
    <row r="74" spans="1:21" s="40" customFormat="1" ht="13.5" customHeight="1" x14ac:dyDescent="0.25">
      <c r="A74" s="32"/>
      <c r="B74" s="221">
        <v>12</v>
      </c>
      <c r="C74" s="224">
        <f t="shared" ref="C74" si="53">+C69+$N$12</f>
        <v>15.5</v>
      </c>
      <c r="D74" s="201">
        <v>0.27</v>
      </c>
      <c r="E74" s="201">
        <v>0.21299999999999999</v>
      </c>
      <c r="F74" s="41" t="s">
        <v>77</v>
      </c>
      <c r="G74" s="42">
        <v>0</v>
      </c>
      <c r="H74" s="43"/>
      <c r="I74" s="44"/>
      <c r="J74" s="45">
        <v>0.25700000000000001</v>
      </c>
      <c r="K74" s="201">
        <f t="shared" ref="K74" si="54">+IF(E74&lt;=0.12,(J76),(IF(E74&lt;0.16,((J75+2*J76+J77)/4),IF(E74&gt;=0.16,((J74+3*J75+2*J76+3*J77+J78)/10)))))</f>
        <v>0.59529999999999994</v>
      </c>
      <c r="L74" s="201">
        <f>ROUND(+(D69+D74)/2*(C74-C69),3)</f>
        <v>0.23400000000000001</v>
      </c>
      <c r="M74" s="201">
        <f t="shared" ref="M74" si="55">ROUND(+K74*L74,4)</f>
        <v>0.13930000000000001</v>
      </c>
      <c r="N74" s="204">
        <f>ROUND(+M74/$M$113*100,2)</f>
        <v>8.09</v>
      </c>
      <c r="O74" s="205"/>
      <c r="P74" s="206"/>
      <c r="Q74" s="32"/>
      <c r="R74" s="32"/>
      <c r="S74" s="32"/>
      <c r="T74" s="32"/>
      <c r="U74" s="32"/>
    </row>
    <row r="75" spans="1:21" s="40" customFormat="1" ht="13.5" customHeight="1" x14ac:dyDescent="0.25">
      <c r="A75" s="32"/>
      <c r="B75" s="222"/>
      <c r="C75" s="202"/>
      <c r="D75" s="202"/>
      <c r="E75" s="202"/>
      <c r="F75" s="46" t="s">
        <v>78</v>
      </c>
      <c r="G75" s="47">
        <f t="shared" ref="G75" si="56">IF(E74&lt;0.125,"NA",IF(0.125&lt;=E74,(0.2*E74)))</f>
        <v>4.2599999999999999E-2</v>
      </c>
      <c r="H75" s="48"/>
      <c r="I75" s="49"/>
      <c r="J75" s="50">
        <v>0.54300000000000004</v>
      </c>
      <c r="K75" s="202"/>
      <c r="L75" s="202"/>
      <c r="M75" s="202"/>
      <c r="N75" s="202"/>
      <c r="O75" s="202"/>
      <c r="P75" s="207"/>
      <c r="Q75" s="32"/>
      <c r="R75" s="32"/>
      <c r="S75" s="32"/>
      <c r="T75" s="32"/>
      <c r="U75" s="32"/>
    </row>
    <row r="76" spans="1:21" s="40" customFormat="1" ht="13.5" customHeight="1" x14ac:dyDescent="0.25">
      <c r="A76" s="32"/>
      <c r="B76" s="222"/>
      <c r="C76" s="202"/>
      <c r="D76" s="202"/>
      <c r="E76" s="202"/>
      <c r="F76" s="46" t="s">
        <v>79</v>
      </c>
      <c r="G76" s="47">
        <f t="shared" ref="G76" si="57">+E74*0.4</f>
        <v>8.5199999999999998E-2</v>
      </c>
      <c r="H76" s="48"/>
      <c r="I76" s="49"/>
      <c r="J76" s="50">
        <v>0.622</v>
      </c>
      <c r="K76" s="202"/>
      <c r="L76" s="202"/>
      <c r="M76" s="202"/>
      <c r="N76" s="202"/>
      <c r="O76" s="202"/>
      <c r="P76" s="207"/>
      <c r="Q76" s="32"/>
      <c r="R76" s="32"/>
      <c r="S76" s="32"/>
      <c r="T76" s="32"/>
      <c r="U76" s="32"/>
    </row>
    <row r="77" spans="1:21" s="40" customFormat="1" ht="13.5" customHeight="1" x14ac:dyDescent="0.25">
      <c r="A77" s="32"/>
      <c r="B77" s="222"/>
      <c r="C77" s="202"/>
      <c r="D77" s="202"/>
      <c r="E77" s="202"/>
      <c r="F77" s="46" t="s">
        <v>80</v>
      </c>
      <c r="G77" s="47">
        <f t="shared" ref="G77" si="58">IF(E74&lt;0.125,"NA",IF(0.125&lt;=E74,(0.8*E74)))</f>
        <v>0.1704</v>
      </c>
      <c r="H77" s="48"/>
      <c r="I77" s="49"/>
      <c r="J77" s="50">
        <v>0.70799999999999996</v>
      </c>
      <c r="K77" s="202"/>
      <c r="L77" s="202"/>
      <c r="M77" s="202"/>
      <c r="N77" s="202"/>
      <c r="O77" s="202"/>
      <c r="P77" s="207"/>
      <c r="Q77" s="32"/>
      <c r="R77" s="32"/>
      <c r="S77" s="32"/>
      <c r="T77" s="32"/>
      <c r="U77" s="32"/>
    </row>
    <row r="78" spans="1:21" s="40" customFormat="1" ht="13.5" customHeight="1" thickBot="1" x14ac:dyDescent="0.3">
      <c r="A78" s="32"/>
      <c r="B78" s="223"/>
      <c r="C78" s="203"/>
      <c r="D78" s="203"/>
      <c r="E78" s="203"/>
      <c r="F78" s="51" t="s">
        <v>81</v>
      </c>
      <c r="G78" s="52">
        <f t="shared" ref="G78" si="59">+E74</f>
        <v>0.21299999999999999</v>
      </c>
      <c r="H78" s="53"/>
      <c r="I78" s="54"/>
      <c r="J78" s="55">
        <v>0.69899999999999995</v>
      </c>
      <c r="K78" s="203"/>
      <c r="L78" s="203"/>
      <c r="M78" s="203"/>
      <c r="N78" s="203"/>
      <c r="O78" s="203"/>
      <c r="P78" s="208"/>
      <c r="Q78" s="32"/>
      <c r="R78" s="32"/>
      <c r="S78" s="32"/>
      <c r="T78" s="32"/>
      <c r="U78" s="32"/>
    </row>
    <row r="79" spans="1:21" s="40" customFormat="1" ht="13.5" customHeight="1" x14ac:dyDescent="0.25">
      <c r="A79" s="32"/>
      <c r="B79" s="221">
        <v>13</v>
      </c>
      <c r="C79" s="224">
        <f t="shared" ref="C79:C84" si="60">+C74+$N$12</f>
        <v>16.5</v>
      </c>
      <c r="D79" s="201">
        <v>0.34200000000000003</v>
      </c>
      <c r="E79" s="201">
        <v>0.30299999999999999</v>
      </c>
      <c r="F79" s="41" t="s">
        <v>77</v>
      </c>
      <c r="G79" s="42">
        <v>0</v>
      </c>
      <c r="H79" s="43"/>
      <c r="I79" s="44"/>
      <c r="J79" s="45">
        <v>0.371</v>
      </c>
      <c r="K79" s="201">
        <f>+IF(E79&lt;=0.12,(J81),(IF(E79&lt;0.16,((J80+2*J81+J82)/4),IF(E79&gt;=0.16,((J79+3*J80+2*J81+3*J82+J83)/10)))))</f>
        <v>0.59110000000000007</v>
      </c>
      <c r="L79" s="201">
        <f>ROUND(+(D74+D79)/2*(C79-C74),3)</f>
        <v>0.30599999999999999</v>
      </c>
      <c r="M79" s="201">
        <f>ROUND(+K79*L79,4)</f>
        <v>0.18090000000000001</v>
      </c>
      <c r="N79" s="204">
        <f>ROUND(+M79/$M$113*100,2)</f>
        <v>10.51</v>
      </c>
      <c r="O79" s="205"/>
      <c r="P79" s="206"/>
      <c r="Q79" s="32"/>
      <c r="R79" s="32"/>
      <c r="S79" s="32"/>
      <c r="T79" s="32"/>
      <c r="U79" s="32"/>
    </row>
    <row r="80" spans="1:21" s="40" customFormat="1" ht="13.5" customHeight="1" x14ac:dyDescent="0.25">
      <c r="A80" s="32"/>
      <c r="B80" s="222"/>
      <c r="C80" s="202"/>
      <c r="D80" s="202"/>
      <c r="E80" s="202"/>
      <c r="F80" s="46" t="s">
        <v>78</v>
      </c>
      <c r="G80" s="47">
        <f t="shared" ref="G80" si="61">IF(E79&lt;0.125,"NA",IF(0.125&lt;=E79,(0.2*E79)))</f>
        <v>6.0600000000000001E-2</v>
      </c>
      <c r="H80" s="48"/>
      <c r="I80" s="49"/>
      <c r="J80" s="50">
        <v>0.40500000000000003</v>
      </c>
      <c r="K80" s="202"/>
      <c r="L80" s="202"/>
      <c r="M80" s="202"/>
      <c r="N80" s="202"/>
      <c r="O80" s="202"/>
      <c r="P80" s="207"/>
      <c r="Q80" s="32"/>
      <c r="R80" s="32"/>
      <c r="S80" s="32"/>
      <c r="T80" s="32"/>
      <c r="U80" s="32"/>
    </row>
    <row r="81" spans="1:21" s="40" customFormat="1" ht="13.5" customHeight="1" x14ac:dyDescent="0.25">
      <c r="A81" s="32"/>
      <c r="B81" s="222"/>
      <c r="C81" s="202"/>
      <c r="D81" s="202"/>
      <c r="E81" s="202"/>
      <c r="F81" s="46" t="s">
        <v>79</v>
      </c>
      <c r="G81" s="47">
        <f t="shared" ref="G81" si="62">+E79*0.4</f>
        <v>0.1212</v>
      </c>
      <c r="H81" s="48"/>
      <c r="I81" s="49"/>
      <c r="J81" s="50">
        <v>0.58299999999999996</v>
      </c>
      <c r="K81" s="202"/>
      <c r="L81" s="202"/>
      <c r="M81" s="202"/>
      <c r="N81" s="202"/>
      <c r="O81" s="202"/>
      <c r="P81" s="207"/>
      <c r="Q81" s="32"/>
      <c r="R81" s="32"/>
      <c r="S81" s="32"/>
      <c r="T81" s="32"/>
      <c r="U81" s="32"/>
    </row>
    <row r="82" spans="1:21" s="40" customFormat="1" ht="13.5" customHeight="1" x14ac:dyDescent="0.25">
      <c r="A82" s="32"/>
      <c r="B82" s="222"/>
      <c r="C82" s="202"/>
      <c r="D82" s="202"/>
      <c r="E82" s="202"/>
      <c r="F82" s="46" t="s">
        <v>80</v>
      </c>
      <c r="G82" s="47">
        <f t="shared" ref="G82" si="63">IF(E79&lt;0.125,"NA",IF(0.125&lt;=E79,(0.8*E79)))</f>
        <v>0.2424</v>
      </c>
      <c r="H82" s="48"/>
      <c r="I82" s="49"/>
      <c r="J82" s="50">
        <v>0.79300000000000004</v>
      </c>
      <c r="K82" s="202"/>
      <c r="L82" s="202"/>
      <c r="M82" s="202"/>
      <c r="N82" s="202"/>
      <c r="O82" s="202"/>
      <c r="P82" s="207"/>
      <c r="Q82" s="32"/>
      <c r="R82" s="32"/>
      <c r="S82" s="32"/>
      <c r="T82" s="32"/>
      <c r="U82" s="32"/>
    </row>
    <row r="83" spans="1:21" s="40" customFormat="1" ht="13.5" customHeight="1" thickBot="1" x14ac:dyDescent="0.3">
      <c r="A83" s="32"/>
      <c r="B83" s="223"/>
      <c r="C83" s="203"/>
      <c r="D83" s="203"/>
      <c r="E83" s="203"/>
      <c r="F83" s="51" t="s">
        <v>81</v>
      </c>
      <c r="G83" s="52">
        <f t="shared" ref="G83" si="64">+E79</f>
        <v>0.30299999999999999</v>
      </c>
      <c r="H83" s="53"/>
      <c r="I83" s="54"/>
      <c r="J83" s="55">
        <v>0.78</v>
      </c>
      <c r="K83" s="203"/>
      <c r="L83" s="203"/>
      <c r="M83" s="203"/>
      <c r="N83" s="203"/>
      <c r="O83" s="203"/>
      <c r="P83" s="208"/>
      <c r="Q83" s="32"/>
      <c r="R83" s="32"/>
      <c r="S83" s="32"/>
      <c r="T83" s="32"/>
      <c r="U83" s="32"/>
    </row>
    <row r="84" spans="1:21" s="40" customFormat="1" ht="13.5" customHeight="1" x14ac:dyDescent="0.25">
      <c r="A84" s="32"/>
      <c r="B84" s="221">
        <v>14</v>
      </c>
      <c r="C84" s="224">
        <f t="shared" si="60"/>
        <v>17.5</v>
      </c>
      <c r="D84" s="201">
        <v>0.42299999999999999</v>
      </c>
      <c r="E84" s="201">
        <v>0.378</v>
      </c>
      <c r="F84" s="41" t="s">
        <v>77</v>
      </c>
      <c r="G84" s="42">
        <v>0</v>
      </c>
      <c r="H84" s="43"/>
      <c r="I84" s="44"/>
      <c r="J84" s="45">
        <v>0.28000000000000003</v>
      </c>
      <c r="K84" s="201">
        <f>+IF(E84&lt;=0.12,(J86),(IF(E84&lt;0.16,((J85+2*J86+J87)/4),IF(E84&gt;=0.16,((J84+3*J85+2*J86+3*J87+J88)/10)))))</f>
        <v>0.56010000000000004</v>
      </c>
      <c r="L84" s="201">
        <f>ROUND(+(D79+D84)/2*(C84-C79),3)</f>
        <v>0.38300000000000001</v>
      </c>
      <c r="M84" s="201">
        <f>ROUND(+K84*L84,4)</f>
        <v>0.2145</v>
      </c>
      <c r="N84" s="204">
        <f>ROUND(+M84/$M$113*100,2)</f>
        <v>12.46</v>
      </c>
      <c r="O84" s="205"/>
      <c r="P84" s="206"/>
      <c r="Q84" s="32"/>
      <c r="R84" s="32"/>
      <c r="S84" s="32"/>
      <c r="T84" s="32"/>
      <c r="U84" s="32"/>
    </row>
    <row r="85" spans="1:21" s="40" customFormat="1" ht="13.5" customHeight="1" x14ac:dyDescent="0.25">
      <c r="A85" s="32"/>
      <c r="B85" s="222"/>
      <c r="C85" s="202"/>
      <c r="D85" s="202"/>
      <c r="E85" s="202"/>
      <c r="F85" s="46" t="s">
        <v>78</v>
      </c>
      <c r="G85" s="47">
        <f t="shared" ref="G85" si="65">IF(E84&lt;0.125,"NA",IF(0.125&lt;=E84,(0.2*E84)))</f>
        <v>7.5600000000000001E-2</v>
      </c>
      <c r="H85" s="48"/>
      <c r="I85" s="49"/>
      <c r="J85" s="50">
        <v>0.44500000000000001</v>
      </c>
      <c r="K85" s="202"/>
      <c r="L85" s="202"/>
      <c r="M85" s="202"/>
      <c r="N85" s="202"/>
      <c r="O85" s="202"/>
      <c r="P85" s="207"/>
      <c r="Q85" s="32"/>
      <c r="R85" s="32"/>
      <c r="S85" s="32"/>
      <c r="T85" s="32"/>
      <c r="U85" s="32"/>
    </row>
    <row r="86" spans="1:21" s="40" customFormat="1" ht="13.5" customHeight="1" x14ac:dyDescent="0.25">
      <c r="A86" s="32"/>
      <c r="B86" s="222"/>
      <c r="C86" s="202"/>
      <c r="D86" s="202"/>
      <c r="E86" s="202"/>
      <c r="F86" s="46" t="s">
        <v>79</v>
      </c>
      <c r="G86" s="47">
        <f t="shared" ref="G86" si="66">+E84*0.4</f>
        <v>0.1512</v>
      </c>
      <c r="H86" s="48"/>
      <c r="I86" s="49"/>
      <c r="J86" s="50">
        <v>0.54</v>
      </c>
      <c r="K86" s="202"/>
      <c r="L86" s="202"/>
      <c r="M86" s="202"/>
      <c r="N86" s="202"/>
      <c r="O86" s="202"/>
      <c r="P86" s="207"/>
      <c r="Q86" s="32"/>
      <c r="R86" s="32"/>
      <c r="S86" s="32"/>
      <c r="T86" s="32"/>
      <c r="U86" s="32"/>
    </row>
    <row r="87" spans="1:21" s="40" customFormat="1" ht="13.5" customHeight="1" x14ac:dyDescent="0.25">
      <c r="A87" s="32"/>
      <c r="B87" s="222"/>
      <c r="C87" s="202"/>
      <c r="D87" s="202"/>
      <c r="E87" s="202"/>
      <c r="F87" s="46" t="s">
        <v>80</v>
      </c>
      <c r="G87" s="47">
        <f t="shared" ref="G87" si="67">IF(E84&lt;0.125,"NA",IF(0.125&lt;=E84,(0.8*E84)))</f>
        <v>0.3024</v>
      </c>
      <c r="H87" s="48"/>
      <c r="I87" s="49"/>
      <c r="J87" s="50">
        <v>0.71199999999999997</v>
      </c>
      <c r="K87" s="202"/>
      <c r="L87" s="202"/>
      <c r="M87" s="202"/>
      <c r="N87" s="202"/>
      <c r="O87" s="202"/>
      <c r="P87" s="207"/>
      <c r="Q87" s="32"/>
      <c r="R87" s="32"/>
      <c r="S87" s="32"/>
      <c r="T87" s="32"/>
      <c r="U87" s="32"/>
    </row>
    <row r="88" spans="1:21" s="40" customFormat="1" ht="13.5" customHeight="1" thickBot="1" x14ac:dyDescent="0.3">
      <c r="A88" s="32"/>
      <c r="B88" s="223"/>
      <c r="C88" s="203"/>
      <c r="D88" s="203"/>
      <c r="E88" s="203"/>
      <c r="F88" s="51" t="s">
        <v>81</v>
      </c>
      <c r="G88" s="52">
        <f t="shared" ref="G88" si="68">+E84</f>
        <v>0.378</v>
      </c>
      <c r="H88" s="53"/>
      <c r="I88" s="54"/>
      <c r="J88" s="55">
        <v>0.77</v>
      </c>
      <c r="K88" s="203"/>
      <c r="L88" s="203"/>
      <c r="M88" s="203"/>
      <c r="N88" s="203"/>
      <c r="O88" s="203"/>
      <c r="P88" s="208"/>
      <c r="Q88" s="32"/>
      <c r="R88" s="32"/>
      <c r="S88" s="32"/>
      <c r="T88" s="32"/>
      <c r="U88" s="32"/>
    </row>
    <row r="89" spans="1:21" s="40" customFormat="1" ht="13.5" customHeight="1" x14ac:dyDescent="0.25">
      <c r="A89" s="32"/>
      <c r="B89" s="221">
        <v>15</v>
      </c>
      <c r="C89" s="224">
        <f>+C84+1.2</f>
        <v>18.7</v>
      </c>
      <c r="D89" s="201">
        <v>0</v>
      </c>
      <c r="E89" s="201">
        <v>0.47499999999999998</v>
      </c>
      <c r="F89" s="41" t="s">
        <v>77</v>
      </c>
      <c r="G89" s="42">
        <v>0</v>
      </c>
      <c r="H89" s="43"/>
      <c r="I89" s="44"/>
      <c r="J89" s="45">
        <v>9.9000000000000005E-2</v>
      </c>
      <c r="K89" s="201">
        <f>+IF(E89&lt;=0.12,(J91),(IF(E89&lt;0.16,((J90+2*J91+J92)/4),IF(E89&gt;=0.16,((J89+3*J90+2*J91+3*J92+J93)/10)))))</f>
        <v>0.2273</v>
      </c>
      <c r="L89" s="201">
        <f>ROUND(+(D84+D89)/2*(C89-C84),3)</f>
        <v>0.254</v>
      </c>
      <c r="M89" s="201">
        <f>ROUND(+K89*L89,4)</f>
        <v>5.7700000000000001E-2</v>
      </c>
      <c r="N89" s="204">
        <f>ROUND(+M89/$M$113*100,2)</f>
        <v>3.35</v>
      </c>
      <c r="O89" s="205"/>
      <c r="P89" s="206"/>
      <c r="Q89" s="32"/>
      <c r="R89" s="32"/>
      <c r="S89" s="32"/>
      <c r="T89" s="32"/>
      <c r="U89" s="32"/>
    </row>
    <row r="90" spans="1:21" s="40" customFormat="1" ht="13.5" customHeight="1" x14ac:dyDescent="0.25">
      <c r="A90" s="32"/>
      <c r="B90" s="222"/>
      <c r="C90" s="202"/>
      <c r="D90" s="202"/>
      <c r="E90" s="202"/>
      <c r="F90" s="46" t="s">
        <v>78</v>
      </c>
      <c r="G90" s="47">
        <f t="shared" ref="G90" si="69">IF(E89&lt;0.125,"NA",IF(0.125&lt;=E89,(0.2*E89)))</f>
        <v>9.5000000000000001E-2</v>
      </c>
      <c r="H90" s="48"/>
      <c r="I90" s="49"/>
      <c r="J90" s="50">
        <v>0.11899999999999999</v>
      </c>
      <c r="K90" s="202"/>
      <c r="L90" s="202"/>
      <c r="M90" s="202"/>
      <c r="N90" s="202"/>
      <c r="O90" s="202"/>
      <c r="P90" s="207"/>
      <c r="Q90" s="32"/>
      <c r="R90" s="32"/>
      <c r="S90" s="32"/>
      <c r="T90" s="32"/>
      <c r="U90" s="32"/>
    </row>
    <row r="91" spans="1:21" s="40" customFormat="1" ht="13.5" customHeight="1" x14ac:dyDescent="0.25">
      <c r="A91" s="32"/>
      <c r="B91" s="222"/>
      <c r="C91" s="202"/>
      <c r="D91" s="202"/>
      <c r="E91" s="202"/>
      <c r="F91" s="46" t="s">
        <v>79</v>
      </c>
      <c r="G91" s="47">
        <f t="shared" ref="G91" si="70">+E89*0.4</f>
        <v>0.19</v>
      </c>
      <c r="H91" s="48"/>
      <c r="I91" s="49"/>
      <c r="J91" s="50">
        <v>0.123</v>
      </c>
      <c r="K91" s="202"/>
      <c r="L91" s="202"/>
      <c r="M91" s="202"/>
      <c r="N91" s="202"/>
      <c r="O91" s="202"/>
      <c r="P91" s="207"/>
      <c r="Q91" s="32"/>
      <c r="R91" s="32"/>
      <c r="S91" s="32"/>
      <c r="T91" s="32"/>
      <c r="U91" s="32"/>
    </row>
    <row r="92" spans="1:21" s="40" customFormat="1" ht="13.5" customHeight="1" x14ac:dyDescent="0.25">
      <c r="A92" s="32"/>
      <c r="B92" s="222"/>
      <c r="C92" s="202"/>
      <c r="D92" s="202"/>
      <c r="E92" s="202"/>
      <c r="F92" s="46" t="s">
        <v>80</v>
      </c>
      <c r="G92" s="47">
        <f t="shared" ref="G92" si="71">IF(E89&lt;0.125,"NA",IF(0.125&lt;=E89,(0.8*E89)))</f>
        <v>0.38</v>
      </c>
      <c r="H92" s="48"/>
      <c r="I92" s="49"/>
      <c r="J92" s="50">
        <v>0.371</v>
      </c>
      <c r="K92" s="202"/>
      <c r="L92" s="202"/>
      <c r="M92" s="202"/>
      <c r="N92" s="202"/>
      <c r="O92" s="202"/>
      <c r="P92" s="207"/>
      <c r="Q92" s="32"/>
      <c r="R92" s="32"/>
      <c r="S92" s="32"/>
      <c r="T92" s="32"/>
      <c r="U92" s="32"/>
    </row>
    <row r="93" spans="1:21" s="40" customFormat="1" ht="13.5" customHeight="1" thickBot="1" x14ac:dyDescent="0.3">
      <c r="A93" s="32"/>
      <c r="B93" s="223"/>
      <c r="C93" s="203"/>
      <c r="D93" s="203"/>
      <c r="E93" s="203"/>
      <c r="F93" s="51" t="s">
        <v>81</v>
      </c>
      <c r="G93" s="52">
        <f t="shared" ref="G93" si="72">+E89</f>
        <v>0.47499999999999998</v>
      </c>
      <c r="H93" s="53"/>
      <c r="I93" s="54"/>
      <c r="J93" s="55">
        <v>0.45800000000000002</v>
      </c>
      <c r="K93" s="203"/>
      <c r="L93" s="203"/>
      <c r="M93" s="203"/>
      <c r="N93" s="203"/>
      <c r="O93" s="203"/>
      <c r="P93" s="208"/>
      <c r="Q93" s="32"/>
      <c r="R93" s="32"/>
      <c r="S93" s="32"/>
      <c r="T93" s="32"/>
      <c r="U93" s="32"/>
    </row>
    <row r="94" spans="1:21" s="3" customFormat="1" ht="14.1" customHeight="1" x14ac:dyDescent="0.2">
      <c r="B94" s="209" t="s">
        <v>28</v>
      </c>
      <c r="C94" s="212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4"/>
    </row>
    <row r="95" spans="1:21" s="3" customFormat="1" ht="14.1" customHeight="1" x14ac:dyDescent="0.2">
      <c r="B95" s="210"/>
      <c r="C95" s="215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7"/>
    </row>
    <row r="96" spans="1:21" s="3" customFormat="1" ht="14.1" customHeight="1" x14ac:dyDescent="0.2">
      <c r="B96" s="210"/>
      <c r="C96" s="215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7"/>
    </row>
    <row r="97" spans="1:21" s="3" customFormat="1" ht="14.1" customHeight="1" x14ac:dyDescent="0.2">
      <c r="B97" s="210"/>
      <c r="C97" s="215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7"/>
    </row>
    <row r="98" spans="1:21" s="3" customFormat="1" ht="14.1" customHeight="1" x14ac:dyDescent="0.2">
      <c r="B98" s="210"/>
      <c r="C98" s="215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7"/>
    </row>
    <row r="99" spans="1:21" s="3" customFormat="1" ht="14.1" customHeight="1" thickBot="1" x14ac:dyDescent="0.25">
      <c r="B99" s="211"/>
      <c r="C99" s="218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20"/>
    </row>
    <row r="100" spans="1:21" s="3" customFormat="1" ht="28.5" customHeight="1" thickBot="1" x14ac:dyDescent="0.25">
      <c r="A100" s="56"/>
      <c r="B100" s="57" t="s">
        <v>82</v>
      </c>
      <c r="C100" s="188" t="s">
        <v>83</v>
      </c>
      <c r="D100" s="188"/>
      <c r="E100" s="188"/>
      <c r="F100" s="188"/>
      <c r="G100" s="188"/>
      <c r="H100" s="189"/>
      <c r="I100" s="190"/>
      <c r="J100" s="57" t="s">
        <v>84</v>
      </c>
      <c r="K100" s="188" t="s">
        <v>85</v>
      </c>
      <c r="L100" s="188"/>
      <c r="M100" s="188"/>
      <c r="N100" s="188"/>
      <c r="O100" s="188"/>
      <c r="P100" s="189"/>
    </row>
    <row r="101" spans="1:21" s="3" customFormat="1" ht="28.5" customHeight="1" thickBot="1" x14ac:dyDescent="0.25">
      <c r="B101" s="58" t="s">
        <v>86</v>
      </c>
      <c r="C101" s="192" t="s">
        <v>87</v>
      </c>
      <c r="D101" s="192"/>
      <c r="E101" s="192"/>
      <c r="F101" s="192"/>
      <c r="G101" s="192"/>
      <c r="H101" s="193"/>
      <c r="I101" s="191"/>
      <c r="J101" s="58" t="s">
        <v>88</v>
      </c>
      <c r="K101" s="192" t="s">
        <v>89</v>
      </c>
      <c r="L101" s="192"/>
      <c r="M101" s="192"/>
      <c r="N101" s="192"/>
      <c r="O101" s="192"/>
      <c r="P101" s="193"/>
    </row>
    <row r="102" spans="1:21" s="19" customFormat="1" ht="13.5" customHeight="1" x14ac:dyDescent="0.25">
      <c r="A102" s="59"/>
      <c r="B102" s="194">
        <f>+B39</f>
        <v>5</v>
      </c>
      <c r="C102" s="197">
        <f>+C34</f>
        <v>7.5</v>
      </c>
      <c r="D102" s="199">
        <f>+D34</f>
        <v>0.53</v>
      </c>
      <c r="E102" s="199">
        <f>+E39</f>
        <v>0.495</v>
      </c>
      <c r="F102" s="60" t="s">
        <v>77</v>
      </c>
      <c r="G102" s="60">
        <v>0.01</v>
      </c>
      <c r="H102" s="61"/>
      <c r="I102" s="62"/>
      <c r="J102" s="63">
        <v>0.42799999999999999</v>
      </c>
      <c r="K102" s="200">
        <f>+AVERAGE(J102:J112)</f>
        <v>0.65599999999999992</v>
      </c>
      <c r="L102" s="179">
        <f>ROUND(+(D102+D107)/2*(C107-C102),3)</f>
        <v>0.51</v>
      </c>
      <c r="M102" s="182">
        <f>ROUND(+K102*L102,4)</f>
        <v>0.33460000000000001</v>
      </c>
      <c r="N102" s="179">
        <f>ROUND(+M102/$M$113*100,2)</f>
        <v>19.43</v>
      </c>
      <c r="O102" s="179"/>
      <c r="P102" s="183"/>
      <c r="Q102" s="64"/>
      <c r="R102" s="64"/>
      <c r="S102" s="64"/>
      <c r="T102" s="64"/>
      <c r="U102" s="64"/>
    </row>
    <row r="103" spans="1:21" s="19" customFormat="1" ht="13.5" customHeight="1" x14ac:dyDescent="0.25">
      <c r="A103" s="59"/>
      <c r="B103" s="195"/>
      <c r="C103" s="180"/>
      <c r="D103" s="180"/>
      <c r="E103" s="180"/>
      <c r="F103" s="65" t="s">
        <v>90</v>
      </c>
      <c r="G103" s="66">
        <f>+E102*0.1</f>
        <v>4.9500000000000002E-2</v>
      </c>
      <c r="H103" s="67"/>
      <c r="I103" s="68"/>
      <c r="J103" s="69">
        <v>0.499</v>
      </c>
      <c r="K103" s="180"/>
      <c r="L103" s="180"/>
      <c r="M103" s="180"/>
      <c r="N103" s="180"/>
      <c r="O103" s="180"/>
      <c r="P103" s="184"/>
      <c r="Q103" s="64"/>
      <c r="R103" s="64"/>
      <c r="S103" s="64"/>
      <c r="T103" s="64"/>
      <c r="U103" s="64"/>
    </row>
    <row r="104" spans="1:21" s="19" customFormat="1" ht="13.5" customHeight="1" x14ac:dyDescent="0.25">
      <c r="A104" s="59"/>
      <c r="B104" s="195"/>
      <c r="C104" s="180"/>
      <c r="D104" s="180"/>
      <c r="E104" s="180"/>
      <c r="F104" s="65" t="s">
        <v>91</v>
      </c>
      <c r="G104" s="66">
        <f>+E102*0.2</f>
        <v>9.9000000000000005E-2</v>
      </c>
      <c r="H104" s="67"/>
      <c r="I104" s="68"/>
      <c r="J104" s="69">
        <v>0.63800000000000001</v>
      </c>
      <c r="K104" s="180"/>
      <c r="L104" s="180"/>
      <c r="M104" s="180"/>
      <c r="N104" s="180"/>
      <c r="O104" s="180"/>
      <c r="P104" s="184"/>
      <c r="Q104" s="64"/>
      <c r="R104" s="64"/>
      <c r="S104" s="64"/>
      <c r="T104" s="64"/>
      <c r="U104" s="64"/>
    </row>
    <row r="105" spans="1:21" s="19" customFormat="1" ht="13.5" customHeight="1" x14ac:dyDescent="0.25">
      <c r="A105" s="59"/>
      <c r="B105" s="195"/>
      <c r="C105" s="180"/>
      <c r="D105" s="180"/>
      <c r="E105" s="180"/>
      <c r="F105" s="65" t="s">
        <v>92</v>
      </c>
      <c r="G105" s="66">
        <f>+E102*0.3</f>
        <v>0.14849999999999999</v>
      </c>
      <c r="H105" s="67"/>
      <c r="I105" s="68"/>
      <c r="J105" s="69">
        <v>0.64900000000000002</v>
      </c>
      <c r="K105" s="180"/>
      <c r="L105" s="180"/>
      <c r="M105" s="180"/>
      <c r="N105" s="180"/>
      <c r="O105" s="180"/>
      <c r="P105" s="184"/>
      <c r="Q105" s="64"/>
      <c r="R105" s="64"/>
      <c r="S105" s="64"/>
      <c r="T105" s="64"/>
      <c r="U105" s="64"/>
    </row>
    <row r="106" spans="1:21" s="19" customFormat="1" ht="13.5" customHeight="1" x14ac:dyDescent="0.25">
      <c r="A106" s="59"/>
      <c r="B106" s="195"/>
      <c r="C106" s="198"/>
      <c r="D106" s="198"/>
      <c r="E106" s="180"/>
      <c r="F106" s="65" t="s">
        <v>93</v>
      </c>
      <c r="G106" s="66">
        <f>+E102*0.4</f>
        <v>0.19800000000000001</v>
      </c>
      <c r="H106" s="67"/>
      <c r="I106" s="68"/>
      <c r="J106" s="69">
        <v>0.69799999999999995</v>
      </c>
      <c r="K106" s="180"/>
      <c r="L106" s="180"/>
      <c r="M106" s="180"/>
      <c r="N106" s="180"/>
      <c r="O106" s="180"/>
      <c r="P106" s="184"/>
      <c r="Q106" s="64"/>
      <c r="R106" s="64"/>
      <c r="S106" s="64"/>
      <c r="T106" s="64"/>
      <c r="U106" s="64"/>
    </row>
    <row r="107" spans="1:21" s="19" customFormat="1" ht="13.5" customHeight="1" x14ac:dyDescent="0.25">
      <c r="A107" s="59"/>
      <c r="B107" s="195"/>
      <c r="C107" s="186">
        <f>+C39</f>
        <v>8.5</v>
      </c>
      <c r="D107" s="187">
        <f>+D39</f>
        <v>0.49</v>
      </c>
      <c r="E107" s="180"/>
      <c r="F107" s="65" t="s">
        <v>29</v>
      </c>
      <c r="G107" s="66">
        <f>+E102*0.5</f>
        <v>0.2475</v>
      </c>
      <c r="H107" s="67"/>
      <c r="I107" s="68"/>
      <c r="J107" s="69">
        <v>0.70299999999999996</v>
      </c>
      <c r="K107" s="180"/>
      <c r="L107" s="180"/>
      <c r="M107" s="180"/>
      <c r="N107" s="180"/>
      <c r="O107" s="180"/>
      <c r="P107" s="184"/>
      <c r="Q107" s="64"/>
      <c r="R107" s="64"/>
      <c r="S107" s="64"/>
      <c r="T107" s="64"/>
      <c r="U107" s="64"/>
    </row>
    <row r="108" spans="1:21" s="19" customFormat="1" ht="13.5" customHeight="1" x14ac:dyDescent="0.25">
      <c r="A108" s="59"/>
      <c r="B108" s="195"/>
      <c r="C108" s="180"/>
      <c r="D108" s="180"/>
      <c r="E108" s="180"/>
      <c r="F108" s="65" t="s">
        <v>94</v>
      </c>
      <c r="G108" s="66">
        <f>+E102*0.6</f>
        <v>0.29699999999999999</v>
      </c>
      <c r="H108" s="67"/>
      <c r="I108" s="68"/>
      <c r="J108" s="69">
        <v>0.70599999999999996</v>
      </c>
      <c r="K108" s="180"/>
      <c r="L108" s="180"/>
      <c r="M108" s="180"/>
      <c r="N108" s="180"/>
      <c r="O108" s="180"/>
      <c r="P108" s="184"/>
      <c r="Q108" s="64"/>
      <c r="R108" s="64"/>
      <c r="S108" s="64"/>
      <c r="T108" s="64"/>
      <c r="U108" s="64"/>
    </row>
    <row r="109" spans="1:21" s="19" customFormat="1" ht="13.5" customHeight="1" x14ac:dyDescent="0.25">
      <c r="A109" s="59"/>
      <c r="B109" s="195"/>
      <c r="C109" s="180"/>
      <c r="D109" s="180"/>
      <c r="E109" s="180"/>
      <c r="F109" s="65" t="s">
        <v>95</v>
      </c>
      <c r="G109" s="66">
        <f>+E102*0.7</f>
        <v>0.34649999999999997</v>
      </c>
      <c r="H109" s="67"/>
      <c r="I109" s="68"/>
      <c r="J109" s="69">
        <v>0.70799999999999996</v>
      </c>
      <c r="K109" s="180"/>
      <c r="L109" s="180"/>
      <c r="M109" s="180"/>
      <c r="N109" s="180"/>
      <c r="O109" s="180"/>
      <c r="P109" s="184"/>
      <c r="Q109" s="64"/>
      <c r="R109" s="64"/>
      <c r="S109" s="64"/>
      <c r="T109" s="64"/>
      <c r="U109" s="64"/>
    </row>
    <row r="110" spans="1:21" s="19" customFormat="1" ht="13.5" customHeight="1" x14ac:dyDescent="0.25">
      <c r="A110" s="59"/>
      <c r="B110" s="195"/>
      <c r="C110" s="180"/>
      <c r="D110" s="180"/>
      <c r="E110" s="180"/>
      <c r="F110" s="65" t="s">
        <v>96</v>
      </c>
      <c r="G110" s="66">
        <f>+E102*0.8</f>
        <v>0.39600000000000002</v>
      </c>
      <c r="H110" s="67"/>
      <c r="I110" s="68"/>
      <c r="J110" s="69">
        <v>0.71499999999999997</v>
      </c>
      <c r="K110" s="180"/>
      <c r="L110" s="180"/>
      <c r="M110" s="180"/>
      <c r="N110" s="180"/>
      <c r="O110" s="180"/>
      <c r="P110" s="184"/>
      <c r="Q110" s="64"/>
      <c r="R110" s="64"/>
      <c r="S110" s="64"/>
      <c r="T110" s="64"/>
      <c r="U110" s="64"/>
    </row>
    <row r="111" spans="1:21" s="19" customFormat="1" ht="13.5" customHeight="1" x14ac:dyDescent="0.25">
      <c r="A111" s="59"/>
      <c r="B111" s="195"/>
      <c r="C111" s="180"/>
      <c r="D111" s="180"/>
      <c r="E111" s="180"/>
      <c r="F111" s="65" t="s">
        <v>97</v>
      </c>
      <c r="G111" s="66">
        <f>+E102*0.9</f>
        <v>0.44550000000000001</v>
      </c>
      <c r="H111" s="67"/>
      <c r="I111" s="68"/>
      <c r="J111" s="69">
        <v>0.72799999999999998</v>
      </c>
      <c r="K111" s="180"/>
      <c r="L111" s="180"/>
      <c r="M111" s="180"/>
      <c r="N111" s="180"/>
      <c r="O111" s="180"/>
      <c r="P111" s="184"/>
      <c r="Q111" s="64"/>
      <c r="R111" s="64"/>
      <c r="S111" s="64"/>
      <c r="T111" s="64"/>
      <c r="U111" s="64"/>
    </row>
    <row r="112" spans="1:21" s="19" customFormat="1" ht="15.75" thickBot="1" x14ac:dyDescent="0.3">
      <c r="A112" s="59"/>
      <c r="B112" s="196"/>
      <c r="C112" s="181"/>
      <c r="D112" s="181"/>
      <c r="E112" s="181"/>
      <c r="F112" s="70" t="s">
        <v>30</v>
      </c>
      <c r="G112" s="70">
        <f>+E102</f>
        <v>0.495</v>
      </c>
      <c r="H112" s="71"/>
      <c r="I112" s="72"/>
      <c r="J112" s="73">
        <v>0.74399999999999999</v>
      </c>
      <c r="K112" s="181"/>
      <c r="L112" s="181"/>
      <c r="M112" s="181"/>
      <c r="N112" s="181"/>
      <c r="O112" s="181"/>
      <c r="P112" s="185"/>
      <c r="Q112" s="64"/>
      <c r="R112" s="64"/>
      <c r="S112" s="64"/>
      <c r="T112" s="64"/>
      <c r="U112" s="64"/>
    </row>
    <row r="113" spans="1:19" s="3" customFormat="1" ht="12.75" x14ac:dyDescent="0.2">
      <c r="A113" s="11"/>
      <c r="B113" s="167" t="s">
        <v>31</v>
      </c>
      <c r="C113" s="167"/>
      <c r="D113" s="167"/>
      <c r="E113" s="167"/>
      <c r="F113" s="167"/>
      <c r="G113" s="167"/>
      <c r="H113" s="167"/>
      <c r="I113" s="167"/>
      <c r="J113" s="167"/>
      <c r="K113" s="16">
        <f>ROUND(+M113/L113,3)</f>
        <v>0.38900000000000001</v>
      </c>
      <c r="L113" s="15">
        <f>SUM(L18:L112)</f>
        <v>4.4250000000000007</v>
      </c>
      <c r="M113" s="14">
        <f>SUM(M18:M112)</f>
        <v>1.7216999999999998</v>
      </c>
      <c r="N113" s="12">
        <f>ROUND(SUM(N18:N112),0)</f>
        <v>100</v>
      </c>
      <c r="O113" s="169" t="s">
        <v>32</v>
      </c>
      <c r="P113" s="171"/>
    </row>
    <row r="114" spans="1:19" s="3" customFormat="1" ht="15" customHeight="1" thickBot="1" x14ac:dyDescent="0.25">
      <c r="A114" s="11"/>
      <c r="B114" s="168"/>
      <c r="C114" s="168"/>
      <c r="D114" s="168"/>
      <c r="E114" s="168"/>
      <c r="F114" s="168"/>
      <c r="G114" s="168"/>
      <c r="H114" s="168"/>
      <c r="I114" s="168"/>
      <c r="J114" s="168"/>
      <c r="K114" s="13" t="s">
        <v>33</v>
      </c>
      <c r="L114" s="13" t="s">
        <v>49</v>
      </c>
      <c r="M114" s="13" t="s">
        <v>103</v>
      </c>
      <c r="N114" s="13" t="s">
        <v>34</v>
      </c>
      <c r="O114" s="170"/>
      <c r="P114" s="172"/>
    </row>
    <row r="115" spans="1:19" ht="15" customHeight="1" thickBot="1" x14ac:dyDescent="0.3">
      <c r="A115" s="5"/>
      <c r="B115" s="173" t="s">
        <v>98</v>
      </c>
      <c r="C115" s="174"/>
      <c r="D115" s="174"/>
      <c r="E115" s="174"/>
      <c r="F115" s="175"/>
      <c r="G115" s="173" t="s">
        <v>99</v>
      </c>
      <c r="H115" s="174"/>
      <c r="I115" s="174"/>
      <c r="J115" s="174"/>
      <c r="K115" s="175"/>
      <c r="L115" s="176" t="s">
        <v>51</v>
      </c>
      <c r="M115" s="177"/>
      <c r="N115" s="177"/>
      <c r="O115" s="177"/>
      <c r="P115" s="178"/>
    </row>
    <row r="116" spans="1:19" ht="15" customHeight="1" x14ac:dyDescent="0.25">
      <c r="A116" s="5"/>
      <c r="B116" s="137"/>
      <c r="C116" s="138"/>
      <c r="D116" s="138"/>
      <c r="E116" s="138"/>
      <c r="F116" s="139"/>
      <c r="G116" s="137"/>
      <c r="H116" s="138"/>
      <c r="I116" s="138"/>
      <c r="J116" s="138"/>
      <c r="K116" s="139"/>
      <c r="L116" s="146" t="s">
        <v>100</v>
      </c>
      <c r="M116" s="147"/>
      <c r="N116" s="147"/>
      <c r="O116" s="148">
        <f>+AVERAGE(E18:E93)</f>
        <v>0.29140000000000005</v>
      </c>
      <c r="P116" s="149"/>
    </row>
    <row r="117" spans="1:19" ht="15" customHeight="1" thickBot="1" x14ac:dyDescent="0.3">
      <c r="A117" s="5"/>
      <c r="B117" s="140"/>
      <c r="C117" s="141"/>
      <c r="D117" s="141"/>
      <c r="E117" s="141"/>
      <c r="F117" s="142"/>
      <c r="G117" s="140"/>
      <c r="H117" s="141"/>
      <c r="I117" s="141"/>
      <c r="J117" s="141"/>
      <c r="K117" s="142"/>
      <c r="L117" s="150" t="s">
        <v>101</v>
      </c>
      <c r="M117" s="151"/>
      <c r="N117" s="151"/>
      <c r="O117" s="152">
        <f>+MAX(E18:E93)</f>
        <v>0.495</v>
      </c>
      <c r="P117" s="153"/>
    </row>
    <row r="118" spans="1:19" ht="18.600000000000001" customHeight="1" x14ac:dyDescent="0.25">
      <c r="A118" s="6"/>
      <c r="B118" s="140"/>
      <c r="C118" s="141"/>
      <c r="D118" s="141"/>
      <c r="E118" s="141"/>
      <c r="F118" s="142"/>
      <c r="G118" s="140"/>
      <c r="H118" s="141"/>
      <c r="I118" s="141"/>
      <c r="J118" s="141"/>
      <c r="K118" s="142"/>
      <c r="L118" s="154"/>
      <c r="M118" s="155"/>
      <c r="N118" s="155"/>
      <c r="O118" s="155"/>
      <c r="P118" s="156"/>
    </row>
    <row r="119" spans="1:19" ht="61.5" customHeight="1" x14ac:dyDescent="0.25">
      <c r="A119" s="10"/>
      <c r="B119" s="140"/>
      <c r="C119" s="141"/>
      <c r="D119" s="141"/>
      <c r="E119" s="141"/>
      <c r="F119" s="142"/>
      <c r="G119" s="140"/>
      <c r="H119" s="141"/>
      <c r="I119" s="141"/>
      <c r="J119" s="141"/>
      <c r="K119" s="142"/>
      <c r="L119" s="157"/>
      <c r="M119" s="158"/>
      <c r="N119" s="158"/>
      <c r="O119" s="158"/>
      <c r="P119" s="159"/>
    </row>
    <row r="120" spans="1:19" ht="15" customHeight="1" thickBot="1" x14ac:dyDescent="0.3">
      <c r="A120" s="5"/>
      <c r="B120" s="140"/>
      <c r="C120" s="141"/>
      <c r="D120" s="141"/>
      <c r="E120" s="141"/>
      <c r="F120" s="142"/>
      <c r="G120" s="140"/>
      <c r="H120" s="141"/>
      <c r="I120" s="141"/>
      <c r="J120" s="141"/>
      <c r="K120" s="142"/>
      <c r="L120" s="160"/>
      <c r="M120" s="161"/>
      <c r="N120" s="161"/>
      <c r="O120" s="161"/>
      <c r="P120" s="162"/>
    </row>
    <row r="121" spans="1:19" ht="22.5" customHeight="1" thickBot="1" x14ac:dyDescent="0.3">
      <c r="A121" s="5"/>
      <c r="B121" s="140"/>
      <c r="C121" s="141"/>
      <c r="D121" s="141"/>
      <c r="E121" s="141"/>
      <c r="F121" s="142"/>
      <c r="G121" s="140"/>
      <c r="H121" s="141"/>
      <c r="I121" s="141"/>
      <c r="J121" s="141"/>
      <c r="K121" s="142"/>
      <c r="L121" s="163" t="s">
        <v>35</v>
      </c>
      <c r="M121" s="164"/>
      <c r="N121" s="164"/>
      <c r="O121" s="164"/>
      <c r="P121" s="83">
        <v>12.05</v>
      </c>
    </row>
    <row r="122" spans="1:19" ht="32.25" customHeight="1" thickBot="1" x14ac:dyDescent="0.3">
      <c r="A122" s="5"/>
      <c r="B122" s="143"/>
      <c r="C122" s="144"/>
      <c r="D122" s="144"/>
      <c r="E122" s="144"/>
      <c r="F122" s="145"/>
      <c r="G122" s="143"/>
      <c r="H122" s="144"/>
      <c r="I122" s="144"/>
      <c r="J122" s="144"/>
      <c r="K122" s="145"/>
      <c r="L122" s="165" t="s">
        <v>104</v>
      </c>
      <c r="M122" s="166"/>
      <c r="N122" s="166"/>
      <c r="O122" s="166"/>
      <c r="P122" s="83">
        <v>0.36199999999999999</v>
      </c>
      <c r="S122" s="99"/>
    </row>
    <row r="123" spans="1:19" ht="23.45" customHeight="1" thickBot="1" x14ac:dyDescent="0.3">
      <c r="A123" s="7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</row>
    <row r="124" spans="1:19" ht="15.75" thickBot="1" x14ac:dyDescent="0.3">
      <c r="A124" s="126" t="s">
        <v>36</v>
      </c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8"/>
    </row>
    <row r="125" spans="1:19" ht="159" customHeight="1" thickBot="1" x14ac:dyDescent="0.3">
      <c r="A125" s="4"/>
      <c r="B125" s="129"/>
      <c r="C125" s="130"/>
      <c r="D125" s="130"/>
      <c r="E125" s="130"/>
      <c r="F125" s="131"/>
      <c r="G125" s="129"/>
      <c r="H125" s="130"/>
      <c r="I125" s="130"/>
      <c r="J125" s="130"/>
      <c r="K125" s="131"/>
      <c r="L125" s="129"/>
      <c r="M125" s="130"/>
      <c r="N125" s="130"/>
      <c r="O125" s="130"/>
      <c r="P125" s="132"/>
    </row>
    <row r="126" spans="1:19" s="9" customFormat="1" ht="35.25" customHeight="1" thickBot="1" x14ac:dyDescent="0.3">
      <c r="A126" s="108"/>
      <c r="B126" s="310" t="s">
        <v>115</v>
      </c>
      <c r="C126" s="311"/>
      <c r="D126" s="311"/>
      <c r="E126" s="311"/>
      <c r="F126" s="312"/>
      <c r="G126" s="310" t="s">
        <v>106</v>
      </c>
      <c r="H126" s="311"/>
      <c r="I126" s="311"/>
      <c r="J126" s="311"/>
      <c r="K126" s="312"/>
      <c r="L126" s="313" t="s">
        <v>116</v>
      </c>
      <c r="M126" s="314"/>
      <c r="N126" s="314"/>
      <c r="O126" s="314"/>
      <c r="P126" s="315"/>
    </row>
    <row r="127" spans="1:19" s="9" customFormat="1" ht="16.899999999999999" customHeight="1" thickBot="1" x14ac:dyDescent="0.3">
      <c r="A127" s="8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1"/>
    </row>
    <row r="128" spans="1:19" s="3" customFormat="1" ht="15.75" customHeight="1" thickBot="1" x14ac:dyDescent="0.25">
      <c r="A128" s="122" t="s">
        <v>37</v>
      </c>
      <c r="B128" s="123"/>
      <c r="C128" s="123"/>
      <c r="D128" s="123"/>
      <c r="E128" s="123"/>
      <c r="F128" s="123"/>
      <c r="G128" s="123"/>
      <c r="H128" s="123"/>
      <c r="I128" s="123"/>
      <c r="J128" s="123" t="s">
        <v>38</v>
      </c>
      <c r="K128" s="123"/>
      <c r="L128" s="123"/>
      <c r="M128" s="123"/>
      <c r="N128" s="123"/>
      <c r="O128" s="123"/>
      <c r="P128" s="124"/>
    </row>
  </sheetData>
  <mergeCells count="25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9:M93"/>
    <mergeCell ref="N89:N93"/>
    <mergeCell ref="O89:O93"/>
    <mergeCell ref="P89:P93"/>
    <mergeCell ref="B94:B99"/>
    <mergeCell ref="C94:P99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C100:H100"/>
    <mergeCell ref="I100:I101"/>
    <mergeCell ref="K100:P100"/>
    <mergeCell ref="C101:H101"/>
    <mergeCell ref="K101:P101"/>
    <mergeCell ref="B102:B112"/>
    <mergeCell ref="C102:C106"/>
    <mergeCell ref="D102:D106"/>
    <mergeCell ref="E102:E112"/>
    <mergeCell ref="K102:K112"/>
    <mergeCell ref="B113:J114"/>
    <mergeCell ref="O113:O114"/>
    <mergeCell ref="P113:P114"/>
    <mergeCell ref="B115:F115"/>
    <mergeCell ref="G115:K115"/>
    <mergeCell ref="L115:P115"/>
    <mergeCell ref="L102:L112"/>
    <mergeCell ref="M102:M112"/>
    <mergeCell ref="N102:N112"/>
    <mergeCell ref="O102:O112"/>
    <mergeCell ref="P102:P112"/>
    <mergeCell ref="C107:C112"/>
    <mergeCell ref="D107:D112"/>
    <mergeCell ref="B116:F122"/>
    <mergeCell ref="G116:K122"/>
    <mergeCell ref="L116:N116"/>
    <mergeCell ref="O116:P116"/>
    <mergeCell ref="L117:N117"/>
    <mergeCell ref="O117:P117"/>
    <mergeCell ref="L118:P120"/>
    <mergeCell ref="L121:O121"/>
    <mergeCell ref="L122:O122"/>
    <mergeCell ref="B127:P127"/>
    <mergeCell ref="A128:C128"/>
    <mergeCell ref="D128:I128"/>
    <mergeCell ref="J128:K128"/>
    <mergeCell ref="L128:P128"/>
    <mergeCell ref="B123:P123"/>
    <mergeCell ref="A124:P124"/>
    <mergeCell ref="B125:F125"/>
    <mergeCell ref="G125:K125"/>
    <mergeCell ref="L125:P125"/>
    <mergeCell ref="B126:F126"/>
    <mergeCell ref="G126:K126"/>
    <mergeCell ref="L126:P12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8"/>
  <sheetViews>
    <sheetView view="pageBreakPreview" zoomScaleSheetLayoutView="100" zoomScalePageLayoutView="110" workbookViewId="0">
      <selection activeCell="E19" sqref="E19:E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1" ht="4.9000000000000004" customHeight="1" thickBot="1" x14ac:dyDescent="0.3">
      <c r="J1" s="17"/>
    </row>
    <row r="2" spans="1:21" s="2" customFormat="1" ht="30" customHeight="1" x14ac:dyDescent="0.25">
      <c r="A2" s="316"/>
      <c r="B2" s="317"/>
      <c r="C2" s="318"/>
      <c r="D2" s="319"/>
      <c r="E2" s="320" t="s">
        <v>117</v>
      </c>
      <c r="F2" s="321"/>
      <c r="G2" s="321"/>
      <c r="H2" s="321"/>
      <c r="I2" s="321"/>
      <c r="J2" s="321"/>
      <c r="K2" s="321"/>
      <c r="L2" s="321"/>
      <c r="M2" s="321"/>
      <c r="N2" s="321"/>
      <c r="O2" s="322"/>
      <c r="P2" s="323"/>
    </row>
    <row r="3" spans="1:21" s="2" customFormat="1" ht="25.5" customHeight="1" thickBot="1" x14ac:dyDescent="0.3">
      <c r="A3" s="316"/>
      <c r="B3" s="324"/>
      <c r="C3" s="325"/>
      <c r="D3" s="326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9"/>
      <c r="P3" s="330"/>
    </row>
    <row r="4" spans="1:21" s="19" customFormat="1" ht="11.25" customHeight="1" thickBot="1" x14ac:dyDescent="0.3">
      <c r="A4" s="18"/>
      <c r="B4" s="30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"/>
      <c r="R4" s="2"/>
      <c r="S4" s="2"/>
      <c r="T4" s="2"/>
      <c r="U4" s="2"/>
    </row>
    <row r="5" spans="1:21" s="22" customFormat="1" ht="31.5" customHeight="1" thickBot="1" x14ac:dyDescent="0.3">
      <c r="A5" s="20"/>
      <c r="B5" s="84" t="s">
        <v>0</v>
      </c>
      <c r="C5" s="307">
        <v>43309</v>
      </c>
      <c r="D5" s="308"/>
      <c r="E5" s="85" t="s">
        <v>52</v>
      </c>
      <c r="F5" s="86">
        <v>4</v>
      </c>
      <c r="G5" s="87" t="s">
        <v>1</v>
      </c>
      <c r="H5" s="331" t="s">
        <v>118</v>
      </c>
      <c r="I5" s="332"/>
      <c r="J5" s="332"/>
      <c r="K5" s="332"/>
      <c r="L5" s="332"/>
      <c r="M5" s="332"/>
      <c r="N5" s="332"/>
      <c r="O5" s="332"/>
      <c r="P5" s="333"/>
      <c r="Q5" s="21"/>
      <c r="R5" s="21"/>
      <c r="S5" s="21"/>
      <c r="T5" s="21"/>
      <c r="U5" s="21"/>
    </row>
    <row r="6" spans="1:21" s="92" customFormat="1" ht="21.75" customHeight="1" thickBot="1" x14ac:dyDescent="0.3">
      <c r="A6" s="88"/>
      <c r="B6" s="291" t="s">
        <v>2</v>
      </c>
      <c r="C6" s="292"/>
      <c r="D6" s="293" t="s">
        <v>107</v>
      </c>
      <c r="E6" s="294"/>
      <c r="F6" s="294"/>
      <c r="G6" s="294"/>
      <c r="H6" s="294"/>
      <c r="I6" s="295"/>
      <c r="J6" s="89" t="s">
        <v>3</v>
      </c>
      <c r="K6" s="293" t="s">
        <v>108</v>
      </c>
      <c r="L6" s="295"/>
      <c r="M6" s="293" t="s">
        <v>109</v>
      </c>
      <c r="N6" s="296"/>
      <c r="O6" s="90" t="s">
        <v>53</v>
      </c>
      <c r="P6" s="91"/>
    </row>
    <row r="7" spans="1:21" s="22" customFormat="1" ht="21.75" customHeight="1" x14ac:dyDescent="0.25">
      <c r="B7" s="297" t="s">
        <v>54</v>
      </c>
      <c r="C7" s="298" t="s">
        <v>55</v>
      </c>
      <c r="D7" s="269"/>
      <c r="E7" s="93"/>
      <c r="F7" s="299" t="s">
        <v>56</v>
      </c>
      <c r="G7" s="300"/>
      <c r="H7" s="300"/>
      <c r="I7" s="300"/>
      <c r="J7" s="301" t="s">
        <v>57</v>
      </c>
      <c r="K7" s="302"/>
      <c r="L7" s="302"/>
      <c r="M7" s="303"/>
      <c r="N7" s="304" t="s">
        <v>110</v>
      </c>
      <c r="O7" s="305"/>
      <c r="P7" s="94" t="s">
        <v>58</v>
      </c>
    </row>
    <row r="8" spans="1:21" s="22" customFormat="1" ht="21.75" customHeight="1" thickBot="1" x14ac:dyDescent="0.3">
      <c r="B8" s="243"/>
      <c r="C8" s="260" t="s">
        <v>59</v>
      </c>
      <c r="D8" s="259"/>
      <c r="E8" s="76" t="s">
        <v>4</v>
      </c>
      <c r="F8" s="270" t="s">
        <v>5</v>
      </c>
      <c r="G8" s="271"/>
      <c r="H8" s="271"/>
      <c r="I8" s="271"/>
      <c r="J8" s="272"/>
      <c r="K8" s="273"/>
      <c r="L8" s="273"/>
      <c r="M8" s="274"/>
      <c r="N8" s="275"/>
      <c r="O8" s="276"/>
      <c r="P8" s="95"/>
    </row>
    <row r="9" spans="1:21" s="22" customFormat="1" ht="21.75" customHeight="1" x14ac:dyDescent="0.25">
      <c r="B9" s="277" t="s">
        <v>6</v>
      </c>
      <c r="C9" s="280" t="s">
        <v>60</v>
      </c>
      <c r="D9" s="281" t="s">
        <v>61</v>
      </c>
      <c r="E9" s="266"/>
      <c r="F9" s="96"/>
      <c r="G9" s="282" t="s">
        <v>7</v>
      </c>
      <c r="H9" s="283" t="s">
        <v>8</v>
      </c>
      <c r="I9" s="269"/>
      <c r="J9" s="97"/>
      <c r="K9" s="280" t="s">
        <v>62</v>
      </c>
      <c r="L9" s="284" t="s">
        <v>111</v>
      </c>
      <c r="M9" s="285"/>
      <c r="N9" s="286"/>
      <c r="O9" s="286"/>
      <c r="P9" s="287"/>
    </row>
    <row r="10" spans="1:21" s="22" customFormat="1" ht="21.75" customHeight="1" thickBot="1" x14ac:dyDescent="0.3">
      <c r="B10" s="278"/>
      <c r="C10" s="223"/>
      <c r="D10" s="264" t="s">
        <v>63</v>
      </c>
      <c r="E10" s="259"/>
      <c r="F10" s="78" t="s">
        <v>4</v>
      </c>
      <c r="G10" s="223"/>
      <c r="H10" s="264" t="s">
        <v>9</v>
      </c>
      <c r="I10" s="259"/>
      <c r="J10" s="79" t="s">
        <v>4</v>
      </c>
      <c r="K10" s="223"/>
      <c r="L10" s="288"/>
      <c r="M10" s="289"/>
      <c r="N10" s="289"/>
      <c r="O10" s="289"/>
      <c r="P10" s="290"/>
    </row>
    <row r="11" spans="1:21" s="22" customFormat="1" ht="21.75" customHeight="1" x14ac:dyDescent="0.25">
      <c r="A11" s="20"/>
      <c r="B11" s="278"/>
      <c r="C11" s="265" t="s">
        <v>10</v>
      </c>
      <c r="D11" s="266"/>
      <c r="E11" s="80">
        <v>0.35275462962962961</v>
      </c>
      <c r="F11" s="267" t="s">
        <v>11</v>
      </c>
      <c r="G11" s="266"/>
      <c r="H11" s="81">
        <v>1.1599999999999999</v>
      </c>
      <c r="I11" s="268" t="s">
        <v>12</v>
      </c>
      <c r="J11" s="269"/>
      <c r="K11" s="81">
        <v>16</v>
      </c>
      <c r="L11" s="265" t="s">
        <v>13</v>
      </c>
      <c r="M11" s="266"/>
      <c r="N11" s="77">
        <v>17.399999999999999</v>
      </c>
      <c r="O11" s="256" t="s">
        <v>64</v>
      </c>
      <c r="P11" s="257"/>
    </row>
    <row r="12" spans="1:21" s="22" customFormat="1" ht="21.75" customHeight="1" thickBot="1" x14ac:dyDescent="0.3">
      <c r="A12" s="20"/>
      <c r="B12" s="279"/>
      <c r="C12" s="258" t="s">
        <v>14</v>
      </c>
      <c r="D12" s="259"/>
      <c r="E12" s="80">
        <v>0.43333333333333335</v>
      </c>
      <c r="F12" s="260" t="s">
        <v>15</v>
      </c>
      <c r="G12" s="259"/>
      <c r="H12" s="81">
        <v>1.18</v>
      </c>
      <c r="I12" s="261" t="s">
        <v>16</v>
      </c>
      <c r="J12" s="259"/>
      <c r="K12" s="80">
        <v>0.35069444444444442</v>
      </c>
      <c r="L12" s="258" t="s">
        <v>17</v>
      </c>
      <c r="M12" s="259"/>
      <c r="N12" s="82">
        <v>1</v>
      </c>
      <c r="O12" s="262">
        <v>1.9</v>
      </c>
      <c r="P12" s="263"/>
    </row>
    <row r="13" spans="1:21" s="22" customFormat="1" ht="21.75" customHeight="1" x14ac:dyDescent="0.25">
      <c r="A13" s="20"/>
      <c r="B13" s="241" t="s">
        <v>18</v>
      </c>
      <c r="C13" s="244" t="s">
        <v>65</v>
      </c>
      <c r="D13" s="245"/>
      <c r="E13" s="245"/>
      <c r="F13" s="246" t="s">
        <v>66</v>
      </c>
      <c r="G13" s="245"/>
      <c r="H13" s="245"/>
      <c r="I13" s="245"/>
      <c r="J13" s="246" t="s">
        <v>67</v>
      </c>
      <c r="K13" s="245"/>
      <c r="L13" s="245"/>
      <c r="M13" s="245"/>
      <c r="N13" s="247" t="s">
        <v>68</v>
      </c>
      <c r="O13" s="245"/>
      <c r="P13" s="248"/>
      <c r="Q13" s="23"/>
      <c r="R13" s="21"/>
      <c r="S13" s="21"/>
      <c r="T13" s="21"/>
      <c r="U13" s="21"/>
    </row>
    <row r="14" spans="1:21" s="22" customFormat="1" ht="21.75" customHeight="1" x14ac:dyDescent="0.25">
      <c r="A14" s="20"/>
      <c r="B14" s="242"/>
      <c r="C14" s="249" t="s">
        <v>69</v>
      </c>
      <c r="D14" s="250"/>
      <c r="E14" s="250"/>
      <c r="F14" s="251" t="s">
        <v>70</v>
      </c>
      <c r="G14" s="250"/>
      <c r="H14" s="250"/>
      <c r="I14" s="250"/>
      <c r="J14" s="252" t="s">
        <v>71</v>
      </c>
      <c r="K14" s="250"/>
      <c r="L14" s="250"/>
      <c r="M14" s="250"/>
      <c r="N14" s="253"/>
      <c r="O14" s="238"/>
      <c r="P14" s="254"/>
      <c r="Q14" s="21"/>
      <c r="R14" s="21"/>
      <c r="S14" s="21"/>
      <c r="T14" s="21"/>
      <c r="U14" s="21"/>
    </row>
    <row r="15" spans="1:21" s="22" customFormat="1" ht="21.75" customHeight="1" thickBot="1" x14ac:dyDescent="0.3">
      <c r="A15" s="20"/>
      <c r="B15" s="243"/>
      <c r="C15" s="255" t="s">
        <v>72</v>
      </c>
      <c r="D15" s="225"/>
      <c r="E15" s="225"/>
      <c r="F15" s="225" t="s">
        <v>73</v>
      </c>
      <c r="G15" s="226"/>
      <c r="H15" s="226"/>
      <c r="I15" s="226"/>
      <c r="J15" s="225" t="s">
        <v>74</v>
      </c>
      <c r="K15" s="226"/>
      <c r="L15" s="226"/>
      <c r="M15" s="226"/>
      <c r="N15" s="227"/>
      <c r="O15" s="228"/>
      <c r="P15" s="229"/>
      <c r="Q15" s="21"/>
      <c r="R15" s="21"/>
      <c r="S15" s="21"/>
      <c r="T15" s="21"/>
      <c r="U15" s="21"/>
    </row>
    <row r="16" spans="1:21" s="22" customFormat="1" ht="21.75" customHeight="1" x14ac:dyDescent="0.25">
      <c r="A16" s="20"/>
      <c r="B16" s="230" t="s">
        <v>19</v>
      </c>
      <c r="C16" s="232" t="s">
        <v>20</v>
      </c>
      <c r="D16" s="232" t="s">
        <v>41</v>
      </c>
      <c r="E16" s="234" t="s">
        <v>21</v>
      </c>
      <c r="F16" s="235" t="s">
        <v>42</v>
      </c>
      <c r="G16" s="236"/>
      <c r="H16" s="232" t="s">
        <v>75</v>
      </c>
      <c r="I16" s="239" t="s">
        <v>76</v>
      </c>
      <c r="J16" s="24" t="s">
        <v>43</v>
      </c>
      <c r="K16" s="25"/>
      <c r="L16" s="26" t="s">
        <v>44</v>
      </c>
      <c r="M16" s="26" t="s">
        <v>45</v>
      </c>
      <c r="N16" s="26" t="s">
        <v>45</v>
      </c>
      <c r="O16" s="26" t="s">
        <v>46</v>
      </c>
      <c r="P16" s="27" t="s">
        <v>22</v>
      </c>
    </row>
    <row r="17" spans="1:21" s="22" customFormat="1" ht="21.75" customHeight="1" thickBot="1" x14ac:dyDescent="0.3">
      <c r="A17" s="28"/>
      <c r="B17" s="231"/>
      <c r="C17" s="233"/>
      <c r="D17" s="233"/>
      <c r="E17" s="233"/>
      <c r="F17" s="237"/>
      <c r="G17" s="238"/>
      <c r="H17" s="233"/>
      <c r="I17" s="240"/>
      <c r="J17" s="29" t="s">
        <v>23</v>
      </c>
      <c r="K17" s="30" t="s">
        <v>24</v>
      </c>
      <c r="L17" s="30" t="s">
        <v>47</v>
      </c>
      <c r="M17" s="30" t="s">
        <v>48</v>
      </c>
      <c r="N17" s="30" t="s">
        <v>25</v>
      </c>
      <c r="O17" s="30" t="s">
        <v>26</v>
      </c>
      <c r="P17" s="31" t="s">
        <v>27</v>
      </c>
    </row>
    <row r="18" spans="1:21" s="40" customFormat="1" ht="21.75" customHeight="1" thickBot="1" x14ac:dyDescent="0.3">
      <c r="A18" s="32"/>
      <c r="B18" s="33"/>
      <c r="C18" s="34">
        <f>+O12</f>
        <v>1.9</v>
      </c>
      <c r="D18" s="109">
        <v>0</v>
      </c>
      <c r="E18" s="35"/>
      <c r="F18" s="36"/>
      <c r="G18" s="75"/>
      <c r="H18" s="37"/>
      <c r="I18" s="38"/>
      <c r="J18" s="74"/>
      <c r="K18" s="35"/>
      <c r="L18" s="35"/>
      <c r="M18" s="35"/>
      <c r="N18" s="35"/>
      <c r="O18" s="35"/>
      <c r="P18" s="39"/>
      <c r="Q18" s="32"/>
      <c r="R18" s="98"/>
      <c r="S18" s="32"/>
      <c r="T18" s="32"/>
      <c r="U18" s="32"/>
    </row>
    <row r="19" spans="1:21" s="40" customFormat="1" ht="13.5" customHeight="1" x14ac:dyDescent="0.25">
      <c r="A19" s="32"/>
      <c r="B19" s="221">
        <v>1</v>
      </c>
      <c r="C19" s="224">
        <f>+C18+N12</f>
        <v>2.9</v>
      </c>
      <c r="D19" s="201">
        <v>0.14299999999999999</v>
      </c>
      <c r="E19" s="201">
        <v>0.13500000000000001</v>
      </c>
      <c r="F19" s="41" t="s">
        <v>77</v>
      </c>
      <c r="G19" s="42">
        <v>0</v>
      </c>
      <c r="H19" s="43"/>
      <c r="I19" s="44"/>
      <c r="J19" s="45">
        <v>8.0000000000000002E-3</v>
      </c>
      <c r="K19" s="201">
        <f>+IF(E19&lt;=0.12,(J21),(IF(E19&lt;0.16,((J20+2*J21+J22)/4),IF(E19&gt;=0.16,((J19+3*J20+2*J21+3*J22+J23)/10)))))</f>
        <v>6.7000000000000004E-2</v>
      </c>
      <c r="L19" s="201">
        <f>ROUND(+(D18+D19)/2*(C19-C18),3)</f>
        <v>7.1999999999999995E-2</v>
      </c>
      <c r="M19" s="201">
        <f>ROUND(+K19*L19,4)</f>
        <v>4.7999999999999996E-3</v>
      </c>
      <c r="N19" s="204">
        <f>ROUND(+M19/$M$123*100,2)</f>
        <v>0.14000000000000001</v>
      </c>
      <c r="O19" s="205"/>
      <c r="P19" s="206"/>
      <c r="Q19" s="32"/>
      <c r="R19" s="98"/>
      <c r="T19" s="32"/>
      <c r="U19" s="32"/>
    </row>
    <row r="20" spans="1:21" s="40" customFormat="1" ht="13.5" customHeight="1" x14ac:dyDescent="0.25">
      <c r="A20" s="32"/>
      <c r="B20" s="222"/>
      <c r="C20" s="202"/>
      <c r="D20" s="202"/>
      <c r="E20" s="202"/>
      <c r="F20" s="46" t="s">
        <v>78</v>
      </c>
      <c r="G20" s="47">
        <f>IF(E19&lt;0.125,"NA",IF(0.125&lt;=E19,(0.2*E19)))</f>
        <v>2.7000000000000003E-2</v>
      </c>
      <c r="H20" s="48"/>
      <c r="I20" s="49"/>
      <c r="J20" s="50">
        <v>5.6000000000000001E-2</v>
      </c>
      <c r="K20" s="202"/>
      <c r="L20" s="202"/>
      <c r="M20" s="202"/>
      <c r="N20" s="202"/>
      <c r="O20" s="202"/>
      <c r="P20" s="207"/>
      <c r="Q20" s="32"/>
      <c r="R20" s="98"/>
      <c r="S20" s="98"/>
      <c r="T20" s="32"/>
      <c r="U20" s="32"/>
    </row>
    <row r="21" spans="1:21" s="40" customFormat="1" ht="13.5" customHeight="1" x14ac:dyDescent="0.25">
      <c r="A21" s="32"/>
      <c r="B21" s="222"/>
      <c r="C21" s="202"/>
      <c r="D21" s="202"/>
      <c r="E21" s="202"/>
      <c r="F21" s="46" t="s">
        <v>79</v>
      </c>
      <c r="G21" s="47">
        <f>+E19*0.4</f>
        <v>5.4000000000000006E-2</v>
      </c>
      <c r="H21" s="48"/>
      <c r="I21" s="49"/>
      <c r="J21" s="50">
        <v>7.0000000000000007E-2</v>
      </c>
      <c r="K21" s="202"/>
      <c r="L21" s="202"/>
      <c r="M21" s="202"/>
      <c r="N21" s="202"/>
      <c r="O21" s="202"/>
      <c r="P21" s="207"/>
      <c r="Q21" s="32"/>
      <c r="R21" s="98"/>
      <c r="S21" s="98"/>
      <c r="T21" s="32"/>
      <c r="U21" s="32"/>
    </row>
    <row r="22" spans="1:21" s="40" customFormat="1" ht="13.5" customHeight="1" x14ac:dyDescent="0.25">
      <c r="A22" s="32"/>
      <c r="B22" s="222"/>
      <c r="C22" s="202"/>
      <c r="D22" s="202"/>
      <c r="E22" s="202"/>
      <c r="F22" s="46" t="s">
        <v>80</v>
      </c>
      <c r="G22" s="47">
        <f>IF(E19&lt;0.125,"NA",IF(0.125&lt;=E19,(0.8*E19)))</f>
        <v>0.10800000000000001</v>
      </c>
      <c r="H22" s="48"/>
      <c r="I22" s="49"/>
      <c r="J22" s="50">
        <v>7.1999999999999995E-2</v>
      </c>
      <c r="K22" s="202"/>
      <c r="L22" s="202"/>
      <c r="M22" s="202"/>
      <c r="N22" s="202"/>
      <c r="O22" s="202"/>
      <c r="P22" s="207"/>
      <c r="Q22" s="32"/>
      <c r="R22" s="98"/>
      <c r="S22" s="98"/>
      <c r="T22" s="32"/>
      <c r="U22" s="32"/>
    </row>
    <row r="23" spans="1:21" s="40" customFormat="1" ht="13.5" customHeight="1" thickBot="1" x14ac:dyDescent="0.3">
      <c r="A23" s="32"/>
      <c r="B23" s="223"/>
      <c r="C23" s="203"/>
      <c r="D23" s="203"/>
      <c r="E23" s="203"/>
      <c r="F23" s="51" t="s">
        <v>81</v>
      </c>
      <c r="G23" s="52">
        <f>+E19</f>
        <v>0.13500000000000001</v>
      </c>
      <c r="H23" s="53"/>
      <c r="I23" s="54"/>
      <c r="J23" s="55">
        <v>8.5999999999999993E-2</v>
      </c>
      <c r="K23" s="203"/>
      <c r="L23" s="203"/>
      <c r="M23" s="203"/>
      <c r="N23" s="203"/>
      <c r="O23" s="203"/>
      <c r="P23" s="208"/>
      <c r="Q23" s="32"/>
      <c r="R23" s="98"/>
      <c r="S23" s="98"/>
      <c r="T23" s="32"/>
      <c r="U23" s="32"/>
    </row>
    <row r="24" spans="1:21" s="40" customFormat="1" ht="13.5" customHeight="1" x14ac:dyDescent="0.25">
      <c r="A24" s="32"/>
      <c r="B24" s="221">
        <v>2</v>
      </c>
      <c r="C24" s="224">
        <f>+C19+N12</f>
        <v>3.9</v>
      </c>
      <c r="D24" s="201">
        <v>0.34300000000000003</v>
      </c>
      <c r="E24" s="201">
        <v>0.34300000000000003</v>
      </c>
      <c r="F24" s="41" t="s">
        <v>77</v>
      </c>
      <c r="G24" s="42">
        <v>0</v>
      </c>
      <c r="H24" s="43"/>
      <c r="I24" s="44"/>
      <c r="J24" s="45">
        <v>0.02</v>
      </c>
      <c r="K24" s="201">
        <f>+IF(E24&lt;=0.12,(J26),(IF(E24&lt;0.16,((J25+2*J26+J27)/4),IF(E24&gt;=0.16,((J24+3*J25+2*J26+3*J27+J28)/10)))))</f>
        <v>7.6700000000000004E-2</v>
      </c>
      <c r="L24" s="201">
        <f>ROUND(+(D19+D24)/2*(C24-C19),3)</f>
        <v>0.24299999999999999</v>
      </c>
      <c r="M24" s="201">
        <f>ROUND(+K24*L24,4)</f>
        <v>1.8599999999999998E-2</v>
      </c>
      <c r="N24" s="204">
        <f>ROUND(+M24/$M$123*100,2)</f>
        <v>0.53</v>
      </c>
      <c r="O24" s="205"/>
      <c r="P24" s="206"/>
      <c r="Q24" s="32"/>
      <c r="R24" s="98"/>
      <c r="T24" s="32"/>
      <c r="U24" s="32"/>
    </row>
    <row r="25" spans="1:21" s="40" customFormat="1" ht="13.5" customHeight="1" x14ac:dyDescent="0.25">
      <c r="A25" s="32"/>
      <c r="B25" s="222"/>
      <c r="C25" s="202"/>
      <c r="D25" s="202"/>
      <c r="E25" s="202"/>
      <c r="F25" s="46" t="s">
        <v>78</v>
      </c>
      <c r="G25" s="47">
        <f>IF(E24&lt;0.125,"NA",IF(0.125&lt;=E24,(0.2*E24)))</f>
        <v>6.8600000000000008E-2</v>
      </c>
      <c r="H25" s="48"/>
      <c r="I25" s="49"/>
      <c r="J25" s="50">
        <v>6.5000000000000002E-2</v>
      </c>
      <c r="K25" s="202"/>
      <c r="L25" s="202"/>
      <c r="M25" s="202"/>
      <c r="N25" s="202"/>
      <c r="O25" s="202"/>
      <c r="P25" s="207"/>
      <c r="Q25" s="32"/>
      <c r="R25" s="98"/>
      <c r="S25" s="98"/>
      <c r="T25" s="32"/>
      <c r="U25" s="32"/>
    </row>
    <row r="26" spans="1:21" s="40" customFormat="1" ht="13.5" customHeight="1" x14ac:dyDescent="0.25">
      <c r="A26" s="32"/>
      <c r="B26" s="222"/>
      <c r="C26" s="202"/>
      <c r="D26" s="202"/>
      <c r="E26" s="202"/>
      <c r="F26" s="46" t="s">
        <v>79</v>
      </c>
      <c r="G26" s="47">
        <f>+E24*0.4</f>
        <v>0.13720000000000002</v>
      </c>
      <c r="H26" s="48"/>
      <c r="I26" s="49"/>
      <c r="J26" s="50">
        <v>8.5000000000000006E-2</v>
      </c>
      <c r="K26" s="202"/>
      <c r="L26" s="202"/>
      <c r="M26" s="202"/>
      <c r="N26" s="202"/>
      <c r="O26" s="202"/>
      <c r="P26" s="207"/>
      <c r="Q26" s="32"/>
      <c r="R26" s="98"/>
      <c r="S26" s="98"/>
      <c r="T26" s="32"/>
      <c r="U26" s="32"/>
    </row>
    <row r="27" spans="1:21" s="40" customFormat="1" ht="13.5" customHeight="1" x14ac:dyDescent="0.25">
      <c r="A27" s="32"/>
      <c r="B27" s="222"/>
      <c r="C27" s="202"/>
      <c r="D27" s="202"/>
      <c r="E27" s="202"/>
      <c r="F27" s="46" t="s">
        <v>80</v>
      </c>
      <c r="G27" s="47">
        <f>IF(E24&lt;0.125,"NA",IF(0.125&lt;=E24,(0.8*E24)))</f>
        <v>0.27440000000000003</v>
      </c>
      <c r="H27" s="48"/>
      <c r="I27" s="49"/>
      <c r="J27" s="50">
        <v>9.6000000000000002E-2</v>
      </c>
      <c r="K27" s="202"/>
      <c r="L27" s="202"/>
      <c r="M27" s="202"/>
      <c r="N27" s="202"/>
      <c r="O27" s="202"/>
      <c r="P27" s="207"/>
      <c r="Q27" s="32"/>
      <c r="R27" s="98"/>
      <c r="S27" s="98"/>
      <c r="T27" s="32"/>
      <c r="U27" s="32"/>
    </row>
    <row r="28" spans="1:21" s="40" customFormat="1" ht="13.5" customHeight="1" thickBot="1" x14ac:dyDescent="0.3">
      <c r="A28" s="32"/>
      <c r="B28" s="223"/>
      <c r="C28" s="203"/>
      <c r="D28" s="203"/>
      <c r="E28" s="203"/>
      <c r="F28" s="51" t="s">
        <v>81</v>
      </c>
      <c r="G28" s="52">
        <f>+E24</f>
        <v>0.34300000000000003</v>
      </c>
      <c r="H28" s="53"/>
      <c r="I28" s="54"/>
      <c r="J28" s="55">
        <v>9.4E-2</v>
      </c>
      <c r="K28" s="203"/>
      <c r="L28" s="203"/>
      <c r="M28" s="203"/>
      <c r="N28" s="203"/>
      <c r="O28" s="203"/>
      <c r="P28" s="208"/>
      <c r="Q28" s="32"/>
      <c r="R28" s="98"/>
      <c r="S28" s="98"/>
      <c r="T28" s="32"/>
      <c r="U28" s="32"/>
    </row>
    <row r="29" spans="1:21" s="40" customFormat="1" ht="13.5" customHeight="1" x14ac:dyDescent="0.25">
      <c r="A29" s="32"/>
      <c r="B29" s="221">
        <v>3</v>
      </c>
      <c r="C29" s="224">
        <f>+C24+$N$12</f>
        <v>4.9000000000000004</v>
      </c>
      <c r="D29" s="201">
        <v>0.72</v>
      </c>
      <c r="E29" s="201">
        <v>0.70599999999999996</v>
      </c>
      <c r="F29" s="41" t="s">
        <v>77</v>
      </c>
      <c r="G29" s="42">
        <v>0</v>
      </c>
      <c r="H29" s="43"/>
      <c r="I29" s="44"/>
      <c r="J29" s="45">
        <v>2.7E-2</v>
      </c>
      <c r="K29" s="201">
        <f>+IF(E29&lt;=0.12,(J31),(IF(E29&lt;0.16,((J30+2*J31+J32)/4),IF(E29&gt;=0.16,((J29+3*J30+2*J31+3*J32+J33)/10)))))</f>
        <v>9.2200000000000004E-2</v>
      </c>
      <c r="L29" s="201">
        <f>ROUND(+(D24+D29)/2*(C29-C24),3)</f>
        <v>0.53200000000000003</v>
      </c>
      <c r="M29" s="201">
        <f>ROUND(+K29*L29,4)</f>
        <v>4.9099999999999998E-2</v>
      </c>
      <c r="N29" s="204">
        <f>ROUND(+M29/$M$123*100,2)</f>
        <v>1.4</v>
      </c>
      <c r="O29" s="205"/>
      <c r="P29" s="206"/>
      <c r="Q29" s="32"/>
      <c r="R29" s="98"/>
      <c r="T29" s="32"/>
      <c r="U29" s="32"/>
    </row>
    <row r="30" spans="1:21" s="40" customFormat="1" ht="13.5" customHeight="1" x14ac:dyDescent="0.25">
      <c r="A30" s="32"/>
      <c r="B30" s="222"/>
      <c r="C30" s="202"/>
      <c r="D30" s="202"/>
      <c r="E30" s="202"/>
      <c r="F30" s="46" t="s">
        <v>78</v>
      </c>
      <c r="G30" s="47">
        <f t="shared" ref="G30" si="0">IF(E29&lt;0.125,"NA",IF(0.125&lt;=E29,(0.2*E29)))</f>
        <v>0.14119999999999999</v>
      </c>
      <c r="H30" s="48"/>
      <c r="I30" s="49"/>
      <c r="J30" s="50">
        <v>7.5999999999999998E-2</v>
      </c>
      <c r="K30" s="202"/>
      <c r="L30" s="202"/>
      <c r="M30" s="202"/>
      <c r="N30" s="202"/>
      <c r="O30" s="202"/>
      <c r="P30" s="207"/>
      <c r="Q30" s="32"/>
      <c r="R30" s="98"/>
      <c r="S30" s="98"/>
      <c r="T30" s="32"/>
      <c r="U30" s="32"/>
    </row>
    <row r="31" spans="1:21" s="40" customFormat="1" ht="13.5" customHeight="1" x14ac:dyDescent="0.25">
      <c r="A31" s="32"/>
      <c r="B31" s="222"/>
      <c r="C31" s="202"/>
      <c r="D31" s="202"/>
      <c r="E31" s="202"/>
      <c r="F31" s="46" t="s">
        <v>79</v>
      </c>
      <c r="G31" s="47">
        <f t="shared" ref="G31" si="1">+E29*0.4</f>
        <v>0.28239999999999998</v>
      </c>
      <c r="H31" s="48"/>
      <c r="I31" s="49"/>
      <c r="J31" s="50">
        <v>9.2999999999999999E-2</v>
      </c>
      <c r="K31" s="202"/>
      <c r="L31" s="202"/>
      <c r="M31" s="202"/>
      <c r="N31" s="202"/>
      <c r="O31" s="202"/>
      <c r="P31" s="207"/>
      <c r="Q31" s="32"/>
      <c r="R31" s="98"/>
      <c r="S31" s="98"/>
      <c r="T31" s="32"/>
      <c r="U31" s="32"/>
    </row>
    <row r="32" spans="1:21" s="40" customFormat="1" ht="13.5" customHeight="1" x14ac:dyDescent="0.25">
      <c r="A32" s="32"/>
      <c r="B32" s="222"/>
      <c r="C32" s="202"/>
      <c r="D32" s="202"/>
      <c r="E32" s="202"/>
      <c r="F32" s="46" t="s">
        <v>80</v>
      </c>
      <c r="G32" s="47">
        <f t="shared" ref="G32" si="2">IF(E29&lt;0.125,"NA",IF(0.125&lt;=E29,(0.8*E29)))</f>
        <v>0.56479999999999997</v>
      </c>
      <c r="H32" s="48"/>
      <c r="I32" s="49"/>
      <c r="J32" s="50">
        <v>0.108</v>
      </c>
      <c r="K32" s="202"/>
      <c r="L32" s="202"/>
      <c r="M32" s="202"/>
      <c r="N32" s="202"/>
      <c r="O32" s="202"/>
      <c r="P32" s="207"/>
      <c r="Q32" s="32"/>
      <c r="R32" s="98"/>
      <c r="S32" s="98"/>
      <c r="T32" s="32"/>
      <c r="U32" s="32"/>
    </row>
    <row r="33" spans="1:21" s="40" customFormat="1" ht="13.5" customHeight="1" thickBot="1" x14ac:dyDescent="0.3">
      <c r="A33" s="32"/>
      <c r="B33" s="223"/>
      <c r="C33" s="203"/>
      <c r="D33" s="203"/>
      <c r="E33" s="203"/>
      <c r="F33" s="51" t="s">
        <v>81</v>
      </c>
      <c r="G33" s="52">
        <f t="shared" ref="G33" si="3">+E29</f>
        <v>0.70599999999999996</v>
      </c>
      <c r="H33" s="53"/>
      <c r="I33" s="54"/>
      <c r="J33" s="55">
        <v>0.157</v>
      </c>
      <c r="K33" s="203"/>
      <c r="L33" s="203"/>
      <c r="M33" s="203"/>
      <c r="N33" s="203"/>
      <c r="O33" s="203"/>
      <c r="P33" s="208"/>
      <c r="Q33" s="32"/>
      <c r="R33" s="98"/>
      <c r="S33" s="98"/>
      <c r="T33" s="32"/>
      <c r="U33" s="32"/>
    </row>
    <row r="34" spans="1:21" s="40" customFormat="1" ht="13.5" customHeight="1" x14ac:dyDescent="0.25">
      <c r="A34" s="32"/>
      <c r="B34" s="221">
        <v>4</v>
      </c>
      <c r="C34" s="224">
        <f>+C29+$N$12</f>
        <v>5.9</v>
      </c>
      <c r="D34" s="201">
        <v>0.67300000000000004</v>
      </c>
      <c r="E34" s="201">
        <v>0.67300000000000004</v>
      </c>
      <c r="F34" s="41" t="s">
        <v>77</v>
      </c>
      <c r="G34" s="42">
        <v>0</v>
      </c>
      <c r="H34" s="43"/>
      <c r="I34" s="44"/>
      <c r="J34" s="45">
        <v>7.6999999999999999E-2</v>
      </c>
      <c r="K34" s="201">
        <f t="shared" ref="K34" si="4">+IF(E34&lt;=0.12,(J36),(IF(E34&lt;0.16,((J35+2*J36+J37)/4),IF(E34&gt;=0.16,((J34+3*J35+2*J36+3*J37+J38)/10)))))</f>
        <v>0.22240000000000001</v>
      </c>
      <c r="L34" s="201">
        <f>ROUND(+(D29+D34)/2*(C34-C29),3)</f>
        <v>0.69699999999999995</v>
      </c>
      <c r="M34" s="201">
        <f t="shared" ref="M34" si="5">ROUND(+K34*L34,4)</f>
        <v>0.155</v>
      </c>
      <c r="N34" s="204">
        <f>ROUND(+M34/$M$123*100,2)</f>
        <v>4.41</v>
      </c>
      <c r="O34" s="205"/>
      <c r="P34" s="206"/>
      <c r="Q34" s="32"/>
      <c r="R34" s="98"/>
      <c r="T34" s="32"/>
      <c r="U34" s="32"/>
    </row>
    <row r="35" spans="1:21" s="40" customFormat="1" ht="13.5" customHeight="1" x14ac:dyDescent="0.25">
      <c r="A35" s="32"/>
      <c r="B35" s="222"/>
      <c r="C35" s="202"/>
      <c r="D35" s="202"/>
      <c r="E35" s="202"/>
      <c r="F35" s="46" t="s">
        <v>78</v>
      </c>
      <c r="G35" s="47">
        <f t="shared" ref="G35" si="6">IF(E34&lt;0.125,"NA",IF(0.125&lt;=E34,(0.2*E34)))</f>
        <v>0.13460000000000003</v>
      </c>
      <c r="H35" s="48"/>
      <c r="I35" s="49"/>
      <c r="J35" s="50">
        <v>0.22600000000000001</v>
      </c>
      <c r="K35" s="202"/>
      <c r="L35" s="202"/>
      <c r="M35" s="202"/>
      <c r="N35" s="202"/>
      <c r="O35" s="202"/>
      <c r="P35" s="207"/>
      <c r="Q35" s="32"/>
      <c r="R35" s="98"/>
      <c r="S35" s="98"/>
      <c r="T35" s="32"/>
      <c r="U35" s="32"/>
    </row>
    <row r="36" spans="1:21" s="40" customFormat="1" ht="13.5" customHeight="1" x14ac:dyDescent="0.25">
      <c r="A36" s="32"/>
      <c r="B36" s="222"/>
      <c r="C36" s="202"/>
      <c r="D36" s="202"/>
      <c r="E36" s="202"/>
      <c r="F36" s="46" t="s">
        <v>79</v>
      </c>
      <c r="G36" s="47">
        <f t="shared" ref="G36" si="7">+E34*0.4</f>
        <v>0.26920000000000005</v>
      </c>
      <c r="H36" s="48"/>
      <c r="I36" s="49"/>
      <c r="J36" s="50">
        <v>0.23899999999999999</v>
      </c>
      <c r="K36" s="202"/>
      <c r="L36" s="202"/>
      <c r="M36" s="202"/>
      <c r="N36" s="202"/>
      <c r="O36" s="202"/>
      <c r="P36" s="207"/>
      <c r="Q36" s="32"/>
      <c r="R36" s="98"/>
      <c r="S36" s="98"/>
      <c r="T36" s="32"/>
      <c r="U36" s="32"/>
    </row>
    <row r="37" spans="1:21" s="40" customFormat="1" ht="13.5" customHeight="1" x14ac:dyDescent="0.25">
      <c r="A37" s="32"/>
      <c r="B37" s="222"/>
      <c r="C37" s="202"/>
      <c r="D37" s="202"/>
      <c r="E37" s="202"/>
      <c r="F37" s="46" t="s">
        <v>80</v>
      </c>
      <c r="G37" s="47">
        <f t="shared" ref="G37" si="8">IF(E34&lt;0.125,"NA",IF(0.125&lt;=E34,(0.8*E34)))</f>
        <v>0.5384000000000001</v>
      </c>
      <c r="H37" s="48"/>
      <c r="I37" s="49"/>
      <c r="J37" s="50">
        <v>0.246</v>
      </c>
      <c r="K37" s="202"/>
      <c r="L37" s="202"/>
      <c r="M37" s="202"/>
      <c r="N37" s="202"/>
      <c r="O37" s="202"/>
      <c r="P37" s="207"/>
      <c r="Q37" s="32"/>
      <c r="R37" s="98"/>
      <c r="S37" s="98"/>
      <c r="T37" s="32"/>
      <c r="U37" s="32"/>
    </row>
    <row r="38" spans="1:21" s="40" customFormat="1" ht="13.5" customHeight="1" thickBot="1" x14ac:dyDescent="0.3">
      <c r="A38" s="32"/>
      <c r="B38" s="223"/>
      <c r="C38" s="203"/>
      <c r="D38" s="203"/>
      <c r="E38" s="203"/>
      <c r="F38" s="51" t="s">
        <v>81</v>
      </c>
      <c r="G38" s="52">
        <f t="shared" ref="G38" si="9">+E34</f>
        <v>0.67300000000000004</v>
      </c>
      <c r="H38" s="53"/>
      <c r="I38" s="54"/>
      <c r="J38" s="55">
        <v>0.253</v>
      </c>
      <c r="K38" s="203"/>
      <c r="L38" s="203"/>
      <c r="M38" s="203"/>
      <c r="N38" s="203"/>
      <c r="O38" s="203"/>
      <c r="P38" s="208"/>
      <c r="Q38" s="32"/>
      <c r="R38" s="98"/>
      <c r="S38" s="98"/>
      <c r="T38" s="32"/>
      <c r="U38" s="32"/>
    </row>
    <row r="39" spans="1:21" s="40" customFormat="1" ht="13.5" customHeight="1" x14ac:dyDescent="0.25">
      <c r="A39" s="32"/>
      <c r="B39" s="221">
        <v>5</v>
      </c>
      <c r="C39" s="224">
        <f>+C34+$N$12</f>
        <v>6.9</v>
      </c>
      <c r="D39" s="201">
        <v>0.77700000000000002</v>
      </c>
      <c r="E39" s="201">
        <v>0.748</v>
      </c>
      <c r="F39" s="41" t="s">
        <v>77</v>
      </c>
      <c r="G39" s="42">
        <v>0</v>
      </c>
      <c r="H39" s="43"/>
      <c r="I39" s="44"/>
      <c r="J39" s="45">
        <v>0.187</v>
      </c>
      <c r="K39" s="201">
        <f t="shared" ref="K39" si="10">+IF(E39&lt;=0.12,(J41),(IF(E39&lt;0.16,((J40+2*J41+J42)/4),IF(E39&gt;=0.16,((J39+3*J40+2*J41+3*J42+J43)/10)))))</f>
        <v>0.24670000000000006</v>
      </c>
      <c r="L39" s="201">
        <f>ROUND(+(D34+D39)/2*(C39-C34),3)</f>
        <v>0.72499999999999998</v>
      </c>
      <c r="M39" s="201">
        <f t="shared" ref="M39" si="11">ROUND(+K39*L39,4)</f>
        <v>0.1789</v>
      </c>
      <c r="N39" s="204">
        <f>ROUND(+M39/$M$123*100,2)</f>
        <v>5.09</v>
      </c>
      <c r="O39" s="205"/>
      <c r="P39" s="206"/>
      <c r="Q39" s="32"/>
      <c r="R39" s="98"/>
      <c r="T39" s="32"/>
      <c r="U39" s="32"/>
    </row>
    <row r="40" spans="1:21" s="40" customFormat="1" ht="13.5" customHeight="1" x14ac:dyDescent="0.25">
      <c r="A40" s="32"/>
      <c r="B40" s="222"/>
      <c r="C40" s="202"/>
      <c r="D40" s="202"/>
      <c r="E40" s="202"/>
      <c r="F40" s="46" t="s">
        <v>78</v>
      </c>
      <c r="G40" s="47">
        <f t="shared" ref="G40" si="12">IF(E39&lt;0.125,"NA",IF(0.125&lt;=E39,(0.2*E39)))</f>
        <v>0.14960000000000001</v>
      </c>
      <c r="H40" s="48"/>
      <c r="I40" s="49"/>
      <c r="J40" s="50">
        <v>0.23200000000000001</v>
      </c>
      <c r="K40" s="202"/>
      <c r="L40" s="202"/>
      <c r="M40" s="202"/>
      <c r="N40" s="202"/>
      <c r="O40" s="202"/>
      <c r="P40" s="207"/>
      <c r="Q40" s="32"/>
      <c r="R40" s="98"/>
      <c r="S40" s="98"/>
      <c r="T40" s="32"/>
      <c r="U40" s="32"/>
    </row>
    <row r="41" spans="1:21" s="40" customFormat="1" ht="13.5" customHeight="1" x14ac:dyDescent="0.25">
      <c r="A41" s="32"/>
      <c r="B41" s="222"/>
      <c r="C41" s="202"/>
      <c r="D41" s="202"/>
      <c r="E41" s="202"/>
      <c r="F41" s="46" t="s">
        <v>79</v>
      </c>
      <c r="G41" s="47">
        <f t="shared" ref="G41" si="13">+E39*0.4</f>
        <v>0.29920000000000002</v>
      </c>
      <c r="H41" s="48"/>
      <c r="I41" s="49"/>
      <c r="J41" s="50">
        <v>0.245</v>
      </c>
      <c r="K41" s="202"/>
      <c r="L41" s="202"/>
      <c r="M41" s="202"/>
      <c r="N41" s="202"/>
      <c r="O41" s="202"/>
      <c r="P41" s="207"/>
      <c r="Q41" s="32"/>
      <c r="R41" s="98"/>
      <c r="S41" s="98"/>
      <c r="T41" s="32"/>
      <c r="U41" s="32"/>
    </row>
    <row r="42" spans="1:21" s="40" customFormat="1" ht="13.5" customHeight="1" x14ac:dyDescent="0.25">
      <c r="A42" s="32"/>
      <c r="B42" s="222"/>
      <c r="C42" s="202"/>
      <c r="D42" s="202"/>
      <c r="E42" s="202"/>
      <c r="F42" s="46" t="s">
        <v>80</v>
      </c>
      <c r="G42" s="47">
        <f t="shared" ref="G42" si="14">IF(E39&lt;0.125,"NA",IF(0.125&lt;=E39,(0.8*E39)))</f>
        <v>0.59840000000000004</v>
      </c>
      <c r="H42" s="48"/>
      <c r="I42" s="49"/>
      <c r="J42" s="50">
        <v>0.27400000000000002</v>
      </c>
      <c r="K42" s="202"/>
      <c r="L42" s="202"/>
      <c r="M42" s="202"/>
      <c r="N42" s="202"/>
      <c r="O42" s="202"/>
      <c r="P42" s="207"/>
      <c r="Q42" s="32"/>
      <c r="R42" s="98"/>
      <c r="S42" s="98"/>
      <c r="T42" s="32"/>
      <c r="U42" s="32"/>
    </row>
    <row r="43" spans="1:21" s="40" customFormat="1" ht="13.5" customHeight="1" thickBot="1" x14ac:dyDescent="0.3">
      <c r="A43" s="32"/>
      <c r="B43" s="223"/>
      <c r="C43" s="203"/>
      <c r="D43" s="203"/>
      <c r="E43" s="203"/>
      <c r="F43" s="51" t="s">
        <v>81</v>
      </c>
      <c r="G43" s="52">
        <f t="shared" ref="G43" si="15">+E39</f>
        <v>0.748</v>
      </c>
      <c r="H43" s="53"/>
      <c r="I43" s="54"/>
      <c r="J43" s="55">
        <v>0.27200000000000002</v>
      </c>
      <c r="K43" s="203"/>
      <c r="L43" s="203"/>
      <c r="M43" s="203"/>
      <c r="N43" s="203"/>
      <c r="O43" s="203"/>
      <c r="P43" s="208"/>
      <c r="Q43" s="32"/>
      <c r="R43" s="98"/>
      <c r="S43" s="98"/>
      <c r="T43" s="32"/>
      <c r="U43" s="32"/>
    </row>
    <row r="44" spans="1:21" s="40" customFormat="1" ht="13.5" customHeight="1" x14ac:dyDescent="0.25">
      <c r="A44" s="32"/>
      <c r="B44" s="221">
        <v>6</v>
      </c>
      <c r="C44" s="224">
        <f>+C39+$N$12</f>
        <v>7.9</v>
      </c>
      <c r="D44" s="201">
        <v>0.78900000000000003</v>
      </c>
      <c r="E44" s="201">
        <v>0.81799999999999995</v>
      </c>
      <c r="F44" s="41" t="s">
        <v>77</v>
      </c>
      <c r="G44" s="42">
        <v>0</v>
      </c>
      <c r="H44" s="43"/>
      <c r="I44" s="44"/>
      <c r="J44" s="100"/>
      <c r="K44" s="201"/>
      <c r="L44" s="201"/>
      <c r="M44" s="201"/>
      <c r="N44" s="204"/>
      <c r="O44" s="205"/>
      <c r="P44" s="206"/>
      <c r="Q44" s="32"/>
      <c r="R44" s="98"/>
      <c r="T44" s="32"/>
      <c r="U44" s="32"/>
    </row>
    <row r="45" spans="1:21" s="40" customFormat="1" ht="13.5" customHeight="1" x14ac:dyDescent="0.25">
      <c r="A45" s="32"/>
      <c r="B45" s="222"/>
      <c r="C45" s="202"/>
      <c r="D45" s="202"/>
      <c r="E45" s="202"/>
      <c r="F45" s="46" t="s">
        <v>78</v>
      </c>
      <c r="G45" s="47">
        <f t="shared" ref="G45" si="16">IF(E44&lt;0.125,"NA",IF(0.125&lt;=E44,(0.2*E44)))</f>
        <v>0.1636</v>
      </c>
      <c r="H45" s="48"/>
      <c r="I45" s="49"/>
      <c r="J45" s="101"/>
      <c r="K45" s="202"/>
      <c r="L45" s="202"/>
      <c r="M45" s="202"/>
      <c r="N45" s="202"/>
      <c r="O45" s="202"/>
      <c r="P45" s="207"/>
      <c r="Q45" s="32"/>
      <c r="R45" s="98"/>
      <c r="S45" s="98"/>
      <c r="T45" s="32"/>
      <c r="U45" s="32"/>
    </row>
    <row r="46" spans="1:21" s="40" customFormat="1" ht="13.5" customHeight="1" x14ac:dyDescent="0.25">
      <c r="A46" s="32"/>
      <c r="B46" s="222"/>
      <c r="C46" s="202"/>
      <c r="D46" s="202"/>
      <c r="E46" s="202"/>
      <c r="F46" s="46" t="s">
        <v>79</v>
      </c>
      <c r="G46" s="47">
        <f t="shared" ref="G46" si="17">+E44*0.4</f>
        <v>0.32719999999999999</v>
      </c>
      <c r="H46" s="48"/>
      <c r="I46" s="49"/>
      <c r="J46" s="101"/>
      <c r="K46" s="202"/>
      <c r="L46" s="202"/>
      <c r="M46" s="202"/>
      <c r="N46" s="202"/>
      <c r="O46" s="202"/>
      <c r="P46" s="207"/>
      <c r="Q46" s="32"/>
      <c r="R46" s="98"/>
      <c r="S46" s="98"/>
      <c r="T46" s="32"/>
      <c r="U46" s="32"/>
    </row>
    <row r="47" spans="1:21" s="40" customFormat="1" ht="13.5" customHeight="1" x14ac:dyDescent="0.25">
      <c r="A47" s="32"/>
      <c r="B47" s="222"/>
      <c r="C47" s="202"/>
      <c r="D47" s="202"/>
      <c r="E47" s="202"/>
      <c r="F47" s="46" t="s">
        <v>80</v>
      </c>
      <c r="G47" s="47">
        <f t="shared" ref="G47" si="18">IF(E44&lt;0.125,"NA",IF(0.125&lt;=E44,(0.8*E44)))</f>
        <v>0.65439999999999998</v>
      </c>
      <c r="H47" s="48"/>
      <c r="I47" s="49"/>
      <c r="J47" s="101"/>
      <c r="K47" s="202"/>
      <c r="L47" s="202"/>
      <c r="M47" s="202"/>
      <c r="N47" s="202"/>
      <c r="O47" s="202"/>
      <c r="P47" s="207"/>
      <c r="Q47" s="32"/>
      <c r="R47" s="98"/>
      <c r="S47" s="98"/>
      <c r="T47" s="32"/>
      <c r="U47" s="32"/>
    </row>
    <row r="48" spans="1:21" s="40" customFormat="1" ht="13.5" customHeight="1" thickBot="1" x14ac:dyDescent="0.3">
      <c r="A48" s="32"/>
      <c r="B48" s="223"/>
      <c r="C48" s="203"/>
      <c r="D48" s="203"/>
      <c r="E48" s="203"/>
      <c r="F48" s="51" t="s">
        <v>81</v>
      </c>
      <c r="G48" s="52">
        <f t="shared" ref="G48" si="19">+E44</f>
        <v>0.81799999999999995</v>
      </c>
      <c r="H48" s="53"/>
      <c r="I48" s="54"/>
      <c r="J48" s="102"/>
      <c r="K48" s="203"/>
      <c r="L48" s="203"/>
      <c r="M48" s="203"/>
      <c r="N48" s="203"/>
      <c r="O48" s="203"/>
      <c r="P48" s="208"/>
      <c r="Q48" s="32"/>
      <c r="R48" s="98"/>
      <c r="S48" s="98"/>
      <c r="T48" s="32"/>
      <c r="U48" s="32"/>
    </row>
    <row r="49" spans="1:21" s="40" customFormat="1" ht="13.5" customHeight="1" x14ac:dyDescent="0.25">
      <c r="A49" s="32"/>
      <c r="B49" s="221">
        <v>7</v>
      </c>
      <c r="C49" s="224">
        <f t="shared" ref="C49" si="20">+C44+$N$12</f>
        <v>8.9</v>
      </c>
      <c r="D49" s="201">
        <v>0.623</v>
      </c>
      <c r="E49" s="201">
        <v>0.67200000000000004</v>
      </c>
      <c r="F49" s="41" t="s">
        <v>77</v>
      </c>
      <c r="G49" s="42">
        <v>0</v>
      </c>
      <c r="H49" s="43"/>
      <c r="I49" s="44"/>
      <c r="J49" s="45">
        <v>0.41399999999999998</v>
      </c>
      <c r="K49" s="201">
        <f t="shared" ref="K49" si="21">+IF(E49&lt;=0.12,(J51),(IF(E49&lt;0.16,((J50+2*J51+J52)/4),IF(E49&gt;=0.16,((J49+3*J50+2*J51+3*J52+J53)/10)))))</f>
        <v>0.55820000000000003</v>
      </c>
      <c r="L49" s="201">
        <f>ROUND(+(D44+D49)/2*(C49-C44),3)</f>
        <v>0.70599999999999996</v>
      </c>
      <c r="M49" s="201">
        <f t="shared" ref="M49" si="22">ROUND(+K49*L49,4)</f>
        <v>0.39410000000000001</v>
      </c>
      <c r="N49" s="204">
        <f>ROUND(+M49/$M$123*100,2)</f>
        <v>11.22</v>
      </c>
      <c r="O49" s="205"/>
      <c r="P49" s="206"/>
      <c r="Q49" s="32"/>
      <c r="R49" s="98"/>
      <c r="T49" s="32"/>
      <c r="U49" s="32"/>
    </row>
    <row r="50" spans="1:21" s="40" customFormat="1" ht="13.5" customHeight="1" x14ac:dyDescent="0.25">
      <c r="A50" s="32"/>
      <c r="B50" s="222"/>
      <c r="C50" s="202"/>
      <c r="D50" s="202"/>
      <c r="E50" s="202"/>
      <c r="F50" s="46" t="s">
        <v>78</v>
      </c>
      <c r="G50" s="47">
        <f t="shared" ref="G50" si="23">IF(E49&lt;0.125,"NA",IF(0.125&lt;=E49,(0.2*E49)))</f>
        <v>0.13440000000000002</v>
      </c>
      <c r="H50" s="48"/>
      <c r="I50" s="49"/>
      <c r="J50" s="50">
        <v>0.45300000000000001</v>
      </c>
      <c r="K50" s="202"/>
      <c r="L50" s="202"/>
      <c r="M50" s="202"/>
      <c r="N50" s="202"/>
      <c r="O50" s="202"/>
      <c r="P50" s="207"/>
      <c r="Q50" s="32"/>
      <c r="R50" s="98"/>
      <c r="S50" s="98"/>
      <c r="T50" s="32"/>
      <c r="U50" s="32"/>
    </row>
    <row r="51" spans="1:21" s="40" customFormat="1" ht="13.5" customHeight="1" x14ac:dyDescent="0.25">
      <c r="A51" s="32"/>
      <c r="B51" s="222"/>
      <c r="C51" s="202"/>
      <c r="D51" s="202"/>
      <c r="E51" s="202"/>
      <c r="F51" s="46" t="s">
        <v>79</v>
      </c>
      <c r="G51" s="47">
        <f t="shared" ref="G51" si="24">+E49*0.4</f>
        <v>0.26880000000000004</v>
      </c>
      <c r="H51" s="48"/>
      <c r="I51" s="49"/>
      <c r="J51" s="50">
        <v>0.53400000000000003</v>
      </c>
      <c r="K51" s="202"/>
      <c r="L51" s="202"/>
      <c r="M51" s="202"/>
      <c r="N51" s="202"/>
      <c r="O51" s="202"/>
      <c r="P51" s="207"/>
      <c r="Q51" s="32"/>
      <c r="R51" s="98"/>
      <c r="S51" s="98"/>
      <c r="T51" s="32"/>
      <c r="U51" s="32"/>
    </row>
    <row r="52" spans="1:21" s="40" customFormat="1" ht="13.5" customHeight="1" x14ac:dyDescent="0.25">
      <c r="A52" s="32"/>
      <c r="B52" s="222"/>
      <c r="C52" s="202"/>
      <c r="D52" s="202"/>
      <c r="E52" s="202"/>
      <c r="F52" s="46" t="s">
        <v>80</v>
      </c>
      <c r="G52" s="47">
        <f t="shared" ref="G52" si="25">IF(E49&lt;0.125,"NA",IF(0.125&lt;=E49,(0.8*E49)))</f>
        <v>0.53760000000000008</v>
      </c>
      <c r="H52" s="48"/>
      <c r="I52" s="49"/>
      <c r="J52" s="50">
        <v>0.67800000000000005</v>
      </c>
      <c r="K52" s="202"/>
      <c r="L52" s="202"/>
      <c r="M52" s="202"/>
      <c r="N52" s="202"/>
      <c r="O52" s="202"/>
      <c r="P52" s="207"/>
      <c r="Q52" s="32"/>
      <c r="R52" s="98"/>
      <c r="S52" s="98"/>
      <c r="T52" s="32"/>
      <c r="U52" s="32"/>
    </row>
    <row r="53" spans="1:21" s="40" customFormat="1" ht="13.5" customHeight="1" thickBot="1" x14ac:dyDescent="0.3">
      <c r="A53" s="32"/>
      <c r="B53" s="223"/>
      <c r="C53" s="203"/>
      <c r="D53" s="203"/>
      <c r="E53" s="203"/>
      <c r="F53" s="51" t="s">
        <v>81</v>
      </c>
      <c r="G53" s="52">
        <f t="shared" ref="G53" si="26">+E49</f>
        <v>0.67200000000000004</v>
      </c>
      <c r="H53" s="53"/>
      <c r="I53" s="54"/>
      <c r="J53" s="55">
        <v>0.70699999999999996</v>
      </c>
      <c r="K53" s="203"/>
      <c r="L53" s="203"/>
      <c r="M53" s="203"/>
      <c r="N53" s="203"/>
      <c r="O53" s="203"/>
      <c r="P53" s="208"/>
      <c r="Q53" s="32"/>
      <c r="R53" s="98"/>
      <c r="S53" s="98"/>
      <c r="T53" s="32"/>
      <c r="U53" s="32"/>
    </row>
    <row r="54" spans="1:21" s="40" customFormat="1" ht="13.5" customHeight="1" x14ac:dyDescent="0.25">
      <c r="A54" s="32"/>
      <c r="B54" s="221">
        <v>8</v>
      </c>
      <c r="C54" s="224">
        <f t="shared" ref="C54" si="27">+C49+$N$12</f>
        <v>9.9</v>
      </c>
      <c r="D54" s="201">
        <v>0.432</v>
      </c>
      <c r="E54" s="201">
        <v>0.45700000000000002</v>
      </c>
      <c r="F54" s="41" t="s">
        <v>77</v>
      </c>
      <c r="G54" s="42">
        <v>0</v>
      </c>
      <c r="H54" s="43"/>
      <c r="I54" s="44"/>
      <c r="J54" s="45">
        <v>0.39400000000000002</v>
      </c>
      <c r="K54" s="201">
        <f t="shared" ref="K54" si="28">+IF(E54&lt;=0.12,(J56),(IF(E54&lt;0.16,((J55+2*J56+J57)/4),IF(E54&gt;=0.16,((J54+3*J55+2*J56+3*J57+J58)/10)))))</f>
        <v>0.56210000000000004</v>
      </c>
      <c r="L54" s="201">
        <f>ROUND(+(D49+D54)/2*(C54-C49),3)</f>
        <v>0.52800000000000002</v>
      </c>
      <c r="M54" s="201">
        <f t="shared" ref="M54" si="29">ROUND(+K54*L54,4)</f>
        <v>0.29680000000000001</v>
      </c>
      <c r="N54" s="204">
        <f>ROUND(+M54/$M$123*100,2)</f>
        <v>8.4499999999999993</v>
      </c>
      <c r="O54" s="205"/>
      <c r="P54" s="206"/>
      <c r="Q54" s="32"/>
      <c r="R54" s="98"/>
      <c r="T54" s="32"/>
      <c r="U54" s="32"/>
    </row>
    <row r="55" spans="1:21" s="40" customFormat="1" ht="13.5" customHeight="1" x14ac:dyDescent="0.25">
      <c r="A55" s="32"/>
      <c r="B55" s="222"/>
      <c r="C55" s="202"/>
      <c r="D55" s="202"/>
      <c r="E55" s="202"/>
      <c r="F55" s="46" t="s">
        <v>78</v>
      </c>
      <c r="G55" s="47">
        <f t="shared" ref="G55" si="30">IF(E54&lt;0.125,"NA",IF(0.125&lt;=E54,(0.2*E54)))</f>
        <v>9.1400000000000009E-2</v>
      </c>
      <c r="H55" s="48"/>
      <c r="I55" s="49"/>
      <c r="J55" s="50">
        <v>0.44600000000000001</v>
      </c>
      <c r="K55" s="202"/>
      <c r="L55" s="202"/>
      <c r="M55" s="202"/>
      <c r="N55" s="202"/>
      <c r="O55" s="202"/>
      <c r="P55" s="207"/>
      <c r="Q55" s="32"/>
      <c r="R55" s="98"/>
      <c r="S55" s="98"/>
      <c r="T55" s="32"/>
      <c r="U55" s="32"/>
    </row>
    <row r="56" spans="1:21" s="40" customFormat="1" ht="13.5" customHeight="1" x14ac:dyDescent="0.25">
      <c r="A56" s="32"/>
      <c r="B56" s="222"/>
      <c r="C56" s="202"/>
      <c r="D56" s="202"/>
      <c r="E56" s="202"/>
      <c r="F56" s="46" t="s">
        <v>79</v>
      </c>
      <c r="G56" s="47">
        <f t="shared" ref="G56" si="31">+E54*0.4</f>
        <v>0.18280000000000002</v>
      </c>
      <c r="H56" s="48"/>
      <c r="I56" s="49"/>
      <c r="J56" s="50">
        <v>0.59899999999999998</v>
      </c>
      <c r="K56" s="202"/>
      <c r="L56" s="202"/>
      <c r="M56" s="202"/>
      <c r="N56" s="202"/>
      <c r="O56" s="202"/>
      <c r="P56" s="207"/>
      <c r="Q56" s="32"/>
      <c r="R56" s="98"/>
      <c r="S56" s="98"/>
      <c r="T56" s="32"/>
      <c r="U56" s="32"/>
    </row>
    <row r="57" spans="1:21" s="40" customFormat="1" ht="13.5" customHeight="1" x14ac:dyDescent="0.25">
      <c r="A57" s="32"/>
      <c r="B57" s="222"/>
      <c r="C57" s="202"/>
      <c r="D57" s="202"/>
      <c r="E57" s="202"/>
      <c r="F57" s="46" t="s">
        <v>80</v>
      </c>
      <c r="G57" s="47">
        <f t="shared" ref="G57" si="32">IF(E54&lt;0.125,"NA",IF(0.125&lt;=E54,(0.8*E54)))</f>
        <v>0.36560000000000004</v>
      </c>
      <c r="H57" s="48"/>
      <c r="I57" s="49"/>
      <c r="J57" s="50">
        <v>0.65900000000000003</v>
      </c>
      <c r="K57" s="202"/>
      <c r="L57" s="202"/>
      <c r="M57" s="202"/>
      <c r="N57" s="202"/>
      <c r="O57" s="202"/>
      <c r="P57" s="207"/>
      <c r="Q57" s="32"/>
      <c r="R57" s="98"/>
      <c r="S57" s="98"/>
      <c r="T57" s="32"/>
      <c r="U57" s="32"/>
    </row>
    <row r="58" spans="1:21" s="40" customFormat="1" ht="13.5" customHeight="1" thickBot="1" x14ac:dyDescent="0.3">
      <c r="A58" s="32"/>
      <c r="B58" s="223"/>
      <c r="C58" s="203"/>
      <c r="D58" s="203"/>
      <c r="E58" s="203"/>
      <c r="F58" s="51" t="s">
        <v>81</v>
      </c>
      <c r="G58" s="52">
        <f t="shared" ref="G58" si="33">+E54</f>
        <v>0.45700000000000002</v>
      </c>
      <c r="H58" s="53"/>
      <c r="I58" s="54"/>
      <c r="J58" s="55">
        <v>0.71399999999999997</v>
      </c>
      <c r="K58" s="203"/>
      <c r="L58" s="203"/>
      <c r="M58" s="203"/>
      <c r="N58" s="203"/>
      <c r="O58" s="203"/>
      <c r="P58" s="208"/>
      <c r="Q58" s="32"/>
      <c r="R58" s="98"/>
      <c r="S58" s="98"/>
      <c r="T58" s="32"/>
      <c r="U58" s="32"/>
    </row>
    <row r="59" spans="1:21" s="40" customFormat="1" ht="13.5" customHeight="1" x14ac:dyDescent="0.25">
      <c r="A59" s="32"/>
      <c r="B59" s="221">
        <v>9</v>
      </c>
      <c r="C59" s="224">
        <f>+C54+$N$12</f>
        <v>10.9</v>
      </c>
      <c r="D59" s="201">
        <v>0.48299999999999998</v>
      </c>
      <c r="E59" s="201">
        <v>0.41</v>
      </c>
      <c r="F59" s="41" t="s">
        <v>77</v>
      </c>
      <c r="G59" s="42">
        <v>0</v>
      </c>
      <c r="H59" s="43"/>
      <c r="I59" s="44"/>
      <c r="J59" s="45">
        <v>0.30499999999999999</v>
      </c>
      <c r="K59" s="201">
        <f t="shared" ref="K59" si="34">+IF(E59&lt;=0.12,(J61),(IF(E59&lt;0.16,((J60+2*J61+J62)/4),IF(E59&gt;=0.16,((J59+3*J60+2*J61+3*J62+J63)/10)))))</f>
        <v>0.50619999999999998</v>
      </c>
      <c r="L59" s="201">
        <f>ROUND(+(D54+D59)/2*(C59-C54),3)</f>
        <v>0.45800000000000002</v>
      </c>
      <c r="M59" s="201">
        <f t="shared" ref="M59" si="35">ROUND(+K59*L59,4)</f>
        <v>0.23180000000000001</v>
      </c>
      <c r="N59" s="204">
        <f>ROUND(+M59/$M$123*100,2)</f>
        <v>6.6</v>
      </c>
      <c r="O59" s="205"/>
      <c r="P59" s="206"/>
      <c r="Q59" s="32"/>
      <c r="R59" s="98"/>
      <c r="T59" s="32"/>
      <c r="U59" s="32"/>
    </row>
    <row r="60" spans="1:21" s="40" customFormat="1" ht="13.5" customHeight="1" x14ac:dyDescent="0.25">
      <c r="A60" s="32"/>
      <c r="B60" s="222"/>
      <c r="C60" s="202"/>
      <c r="D60" s="202"/>
      <c r="E60" s="202"/>
      <c r="F60" s="46" t="s">
        <v>78</v>
      </c>
      <c r="G60" s="47">
        <f t="shared" ref="G60" si="36">IF(E59&lt;0.125,"NA",IF(0.125&lt;=E59,(0.2*E59)))</f>
        <v>8.2000000000000003E-2</v>
      </c>
      <c r="H60" s="48"/>
      <c r="I60" s="49"/>
      <c r="J60" s="50">
        <v>0.43099999999999999</v>
      </c>
      <c r="K60" s="202"/>
      <c r="L60" s="202"/>
      <c r="M60" s="202"/>
      <c r="N60" s="202"/>
      <c r="O60" s="202"/>
      <c r="P60" s="207"/>
      <c r="Q60" s="32"/>
      <c r="R60" s="98"/>
      <c r="S60" s="98"/>
      <c r="T60" s="32"/>
      <c r="U60" s="32"/>
    </row>
    <row r="61" spans="1:21" s="40" customFormat="1" ht="13.5" customHeight="1" x14ac:dyDescent="0.25">
      <c r="A61" s="32"/>
      <c r="B61" s="222"/>
      <c r="C61" s="202"/>
      <c r="D61" s="202"/>
      <c r="E61" s="202"/>
      <c r="F61" s="46" t="s">
        <v>79</v>
      </c>
      <c r="G61" s="47">
        <f t="shared" ref="G61" si="37">+E59*0.4</f>
        <v>0.16400000000000001</v>
      </c>
      <c r="H61" s="48"/>
      <c r="I61" s="49"/>
      <c r="J61" s="50">
        <v>0.52</v>
      </c>
      <c r="K61" s="202"/>
      <c r="L61" s="202"/>
      <c r="M61" s="202"/>
      <c r="N61" s="202"/>
      <c r="O61" s="202"/>
      <c r="P61" s="207"/>
      <c r="Q61" s="32"/>
      <c r="R61" s="98"/>
      <c r="S61" s="98"/>
      <c r="T61" s="32"/>
      <c r="U61" s="32"/>
    </row>
    <row r="62" spans="1:21" s="40" customFormat="1" ht="13.5" customHeight="1" x14ac:dyDescent="0.25">
      <c r="A62" s="32"/>
      <c r="B62" s="222"/>
      <c r="C62" s="202"/>
      <c r="D62" s="202"/>
      <c r="E62" s="202"/>
      <c r="F62" s="46" t="s">
        <v>80</v>
      </c>
      <c r="G62" s="47">
        <f t="shared" ref="G62" si="38">IF(E59&lt;0.125,"NA",IF(0.125&lt;=E59,(0.8*E59)))</f>
        <v>0.32800000000000001</v>
      </c>
      <c r="H62" s="48"/>
      <c r="I62" s="49"/>
      <c r="J62" s="50">
        <v>0.60699999999999998</v>
      </c>
      <c r="K62" s="202"/>
      <c r="L62" s="202"/>
      <c r="M62" s="202"/>
      <c r="N62" s="202"/>
      <c r="O62" s="202"/>
      <c r="P62" s="207"/>
      <c r="Q62" s="32"/>
      <c r="R62" s="98"/>
      <c r="S62" s="98"/>
      <c r="T62" s="32"/>
      <c r="U62" s="32"/>
    </row>
    <row r="63" spans="1:21" s="40" customFormat="1" ht="13.5" customHeight="1" thickBot="1" x14ac:dyDescent="0.3">
      <c r="A63" s="32"/>
      <c r="B63" s="223"/>
      <c r="C63" s="203"/>
      <c r="D63" s="203"/>
      <c r="E63" s="203"/>
      <c r="F63" s="51" t="s">
        <v>81</v>
      </c>
      <c r="G63" s="52">
        <f t="shared" ref="G63" si="39">+E59</f>
        <v>0.41</v>
      </c>
      <c r="H63" s="53"/>
      <c r="I63" s="54"/>
      <c r="J63" s="55">
        <v>0.60299999999999998</v>
      </c>
      <c r="K63" s="203"/>
      <c r="L63" s="203"/>
      <c r="M63" s="203"/>
      <c r="N63" s="203"/>
      <c r="O63" s="203"/>
      <c r="P63" s="208"/>
      <c r="Q63" s="32"/>
      <c r="R63" s="98"/>
      <c r="S63" s="98"/>
      <c r="T63" s="32"/>
      <c r="U63" s="32"/>
    </row>
    <row r="64" spans="1:21" s="40" customFormat="1" ht="13.5" customHeight="1" x14ac:dyDescent="0.25">
      <c r="A64" s="32"/>
      <c r="B64" s="221">
        <v>10</v>
      </c>
      <c r="C64" s="224">
        <f t="shared" ref="C64" si="40">+C59+$N$12</f>
        <v>11.9</v>
      </c>
      <c r="D64" s="201">
        <v>0.51300000000000001</v>
      </c>
      <c r="E64" s="201">
        <v>0.47</v>
      </c>
      <c r="F64" s="41" t="s">
        <v>77</v>
      </c>
      <c r="G64" s="42">
        <v>0</v>
      </c>
      <c r="H64" s="43"/>
      <c r="I64" s="44"/>
      <c r="J64" s="45">
        <v>0.28699999999999998</v>
      </c>
      <c r="K64" s="201">
        <f t="shared" ref="K64" si="41">+IF(E64&lt;=0.12,(J66),(IF(E64&lt;0.16,((J65+2*J66+J67)/4),IF(E64&gt;=0.16,((J64+3*J65+2*J66+3*J67+J68)/10)))))</f>
        <v>0.51910000000000012</v>
      </c>
      <c r="L64" s="201">
        <f>ROUND(+(D59+D64)/2*(C64-C59),3)</f>
        <v>0.498</v>
      </c>
      <c r="M64" s="201">
        <f t="shared" ref="M64" si="42">ROUND(+K64*L64,4)</f>
        <v>0.25850000000000001</v>
      </c>
      <c r="N64" s="204">
        <f>ROUND(+M64/$M$123*100,2)</f>
        <v>7.36</v>
      </c>
      <c r="O64" s="205"/>
      <c r="P64" s="206"/>
      <c r="Q64" s="32"/>
      <c r="R64" s="98"/>
      <c r="T64" s="32"/>
      <c r="U64" s="32"/>
    </row>
    <row r="65" spans="1:21" s="40" customFormat="1" ht="13.5" customHeight="1" x14ac:dyDescent="0.25">
      <c r="A65" s="32"/>
      <c r="B65" s="222"/>
      <c r="C65" s="202"/>
      <c r="D65" s="202"/>
      <c r="E65" s="202"/>
      <c r="F65" s="46" t="s">
        <v>78</v>
      </c>
      <c r="G65" s="47">
        <f t="shared" ref="G65" si="43">IF(E64&lt;0.125,"NA",IF(0.125&lt;=E64,(0.2*E64)))</f>
        <v>9.4E-2</v>
      </c>
      <c r="H65" s="48"/>
      <c r="I65" s="49"/>
      <c r="J65" s="50">
        <v>0.40500000000000003</v>
      </c>
      <c r="K65" s="202"/>
      <c r="L65" s="202"/>
      <c r="M65" s="202"/>
      <c r="N65" s="202"/>
      <c r="O65" s="202"/>
      <c r="P65" s="207"/>
      <c r="Q65" s="32"/>
      <c r="R65" s="98"/>
      <c r="S65" s="98"/>
      <c r="T65" s="32"/>
      <c r="U65" s="32"/>
    </row>
    <row r="66" spans="1:21" s="40" customFormat="1" ht="13.5" customHeight="1" x14ac:dyDescent="0.25">
      <c r="A66" s="32"/>
      <c r="B66" s="222"/>
      <c r="C66" s="202"/>
      <c r="D66" s="202"/>
      <c r="E66" s="202"/>
      <c r="F66" s="46" t="s">
        <v>79</v>
      </c>
      <c r="G66" s="47">
        <f t="shared" ref="G66" si="44">+E64*0.4</f>
        <v>0.188</v>
      </c>
      <c r="H66" s="48"/>
      <c r="I66" s="49"/>
      <c r="J66" s="50">
        <v>0.51100000000000001</v>
      </c>
      <c r="K66" s="202"/>
      <c r="L66" s="202"/>
      <c r="M66" s="202"/>
      <c r="N66" s="202"/>
      <c r="O66" s="202"/>
      <c r="P66" s="207"/>
      <c r="Q66" s="32"/>
      <c r="R66" s="98"/>
      <c r="S66" s="98"/>
      <c r="T66" s="32"/>
      <c r="U66" s="32"/>
    </row>
    <row r="67" spans="1:21" s="40" customFormat="1" ht="13.5" customHeight="1" x14ac:dyDescent="0.25">
      <c r="A67" s="32"/>
      <c r="B67" s="222"/>
      <c r="C67" s="202"/>
      <c r="D67" s="202"/>
      <c r="E67" s="202"/>
      <c r="F67" s="46" t="s">
        <v>80</v>
      </c>
      <c r="G67" s="47">
        <f t="shared" ref="G67" si="45">IF(E64&lt;0.125,"NA",IF(0.125&lt;=E64,(0.8*E64)))</f>
        <v>0.376</v>
      </c>
      <c r="H67" s="48"/>
      <c r="I67" s="49"/>
      <c r="J67" s="50">
        <v>0.66600000000000004</v>
      </c>
      <c r="K67" s="202"/>
      <c r="L67" s="202"/>
      <c r="M67" s="202"/>
      <c r="N67" s="202"/>
      <c r="O67" s="202"/>
      <c r="P67" s="207"/>
      <c r="Q67" s="32"/>
      <c r="R67" s="98"/>
      <c r="S67" s="98"/>
      <c r="T67" s="32"/>
      <c r="U67" s="32"/>
    </row>
    <row r="68" spans="1:21" s="40" customFormat="1" ht="13.5" customHeight="1" thickBot="1" x14ac:dyDescent="0.3">
      <c r="A68" s="32"/>
      <c r="B68" s="223"/>
      <c r="C68" s="203"/>
      <c r="D68" s="203"/>
      <c r="E68" s="203"/>
      <c r="F68" s="51" t="s">
        <v>81</v>
      </c>
      <c r="G68" s="52">
        <f t="shared" ref="G68" si="46">+E64</f>
        <v>0.47</v>
      </c>
      <c r="H68" s="53"/>
      <c r="I68" s="54"/>
      <c r="J68" s="55">
        <v>0.66900000000000004</v>
      </c>
      <c r="K68" s="203"/>
      <c r="L68" s="203"/>
      <c r="M68" s="203"/>
      <c r="N68" s="203"/>
      <c r="O68" s="203"/>
      <c r="P68" s="208"/>
      <c r="Q68" s="32"/>
      <c r="R68" s="98"/>
      <c r="S68" s="98"/>
      <c r="T68" s="32"/>
      <c r="U68" s="32"/>
    </row>
    <row r="69" spans="1:21" s="40" customFormat="1" ht="13.5" customHeight="1" x14ac:dyDescent="0.25">
      <c r="A69" s="32"/>
      <c r="B69" s="221">
        <v>11</v>
      </c>
      <c r="C69" s="224">
        <f>+C64+$N$12</f>
        <v>12.9</v>
      </c>
      <c r="D69" s="201">
        <v>0.432</v>
      </c>
      <c r="E69" s="201">
        <v>0.46800000000000003</v>
      </c>
      <c r="F69" s="41" t="s">
        <v>77</v>
      </c>
      <c r="G69" s="42">
        <v>0</v>
      </c>
      <c r="H69" s="43"/>
      <c r="I69" s="44"/>
      <c r="J69" s="45">
        <v>0.26200000000000001</v>
      </c>
      <c r="K69" s="201">
        <f t="shared" ref="K69" si="47">+IF(E69&lt;=0.12,(J71),(IF(E69&lt;0.16,((J70+2*J71+J72)/4),IF(E69&gt;=0.16,((J69+3*J70+2*J71+3*J72+J73)/10)))))</f>
        <v>0.51849999999999996</v>
      </c>
      <c r="L69" s="201">
        <f>ROUND(+(D64+D69)/2*(C69-C64),3)</f>
        <v>0.47299999999999998</v>
      </c>
      <c r="M69" s="201">
        <f t="shared" ref="M69" si="48">ROUND(+K69*L69,4)</f>
        <v>0.24529999999999999</v>
      </c>
      <c r="N69" s="204">
        <f>ROUND(+M69/$M$123*100,2)</f>
        <v>6.98</v>
      </c>
      <c r="O69" s="205"/>
      <c r="P69" s="206"/>
      <c r="Q69" s="32"/>
      <c r="R69" s="98"/>
      <c r="T69" s="32"/>
      <c r="U69" s="32"/>
    </row>
    <row r="70" spans="1:21" s="40" customFormat="1" ht="13.5" customHeight="1" x14ac:dyDescent="0.25">
      <c r="A70" s="32"/>
      <c r="B70" s="222"/>
      <c r="C70" s="202"/>
      <c r="D70" s="202"/>
      <c r="E70" s="202"/>
      <c r="F70" s="46" t="s">
        <v>78</v>
      </c>
      <c r="G70" s="47">
        <f t="shared" ref="G70" si="49">IF(E69&lt;0.125,"NA",IF(0.125&lt;=E69,(0.2*E69)))</f>
        <v>9.3600000000000017E-2</v>
      </c>
      <c r="H70" s="48"/>
      <c r="I70" s="49"/>
      <c r="J70" s="50">
        <v>0.39500000000000002</v>
      </c>
      <c r="K70" s="202"/>
      <c r="L70" s="202"/>
      <c r="M70" s="202"/>
      <c r="N70" s="202"/>
      <c r="O70" s="202"/>
      <c r="P70" s="207"/>
      <c r="Q70" s="32"/>
      <c r="R70" s="98"/>
      <c r="S70" s="98"/>
      <c r="T70" s="32"/>
      <c r="U70" s="32"/>
    </row>
    <row r="71" spans="1:21" s="40" customFormat="1" ht="13.5" customHeight="1" x14ac:dyDescent="0.25">
      <c r="A71" s="32"/>
      <c r="B71" s="222"/>
      <c r="C71" s="202"/>
      <c r="D71" s="202"/>
      <c r="E71" s="202"/>
      <c r="F71" s="46" t="s">
        <v>79</v>
      </c>
      <c r="G71" s="47">
        <f t="shared" ref="G71" si="50">+E69*0.4</f>
        <v>0.18720000000000003</v>
      </c>
      <c r="H71" s="48"/>
      <c r="I71" s="49"/>
      <c r="J71" s="50">
        <v>0.44900000000000001</v>
      </c>
      <c r="K71" s="202"/>
      <c r="L71" s="202"/>
      <c r="M71" s="202"/>
      <c r="N71" s="202"/>
      <c r="O71" s="202"/>
      <c r="P71" s="207"/>
      <c r="Q71" s="32"/>
      <c r="R71" s="98"/>
      <c r="S71" s="98"/>
      <c r="T71" s="32"/>
      <c r="U71" s="32"/>
    </row>
    <row r="72" spans="1:21" s="40" customFormat="1" ht="13.5" customHeight="1" x14ac:dyDescent="0.25">
      <c r="A72" s="32"/>
      <c r="B72" s="222"/>
      <c r="C72" s="202"/>
      <c r="D72" s="202"/>
      <c r="E72" s="202"/>
      <c r="F72" s="46" t="s">
        <v>80</v>
      </c>
      <c r="G72" s="47">
        <f t="shared" ref="G72" si="51">IF(E69&lt;0.125,"NA",IF(0.125&lt;=E69,(0.8*E69)))</f>
        <v>0.37440000000000007</v>
      </c>
      <c r="H72" s="48"/>
      <c r="I72" s="49"/>
      <c r="J72" s="50">
        <v>0.70799999999999996</v>
      </c>
      <c r="K72" s="202"/>
      <c r="L72" s="202"/>
      <c r="M72" s="202"/>
      <c r="N72" s="202"/>
      <c r="O72" s="202"/>
      <c r="P72" s="207"/>
      <c r="Q72" s="32"/>
      <c r="R72" s="98"/>
      <c r="S72" s="98"/>
      <c r="T72" s="32"/>
      <c r="U72" s="32"/>
    </row>
    <row r="73" spans="1:21" s="40" customFormat="1" ht="13.5" customHeight="1" thickBot="1" x14ac:dyDescent="0.3">
      <c r="A73" s="32"/>
      <c r="B73" s="223"/>
      <c r="C73" s="203"/>
      <c r="D73" s="203"/>
      <c r="E73" s="203"/>
      <c r="F73" s="51" t="s">
        <v>81</v>
      </c>
      <c r="G73" s="52">
        <f t="shared" ref="G73" si="52">+E69</f>
        <v>0.46800000000000003</v>
      </c>
      <c r="H73" s="53"/>
      <c r="I73" s="54"/>
      <c r="J73" s="55">
        <v>0.71599999999999997</v>
      </c>
      <c r="K73" s="203"/>
      <c r="L73" s="203"/>
      <c r="M73" s="203"/>
      <c r="N73" s="203"/>
      <c r="O73" s="203"/>
      <c r="P73" s="208"/>
      <c r="Q73" s="32"/>
      <c r="R73" s="98"/>
      <c r="S73" s="98"/>
      <c r="T73" s="32"/>
      <c r="U73" s="32"/>
    </row>
    <row r="74" spans="1:21" s="40" customFormat="1" ht="13.5" customHeight="1" x14ac:dyDescent="0.25">
      <c r="A74" s="32"/>
      <c r="B74" s="221">
        <v>12</v>
      </c>
      <c r="C74" s="224">
        <f t="shared" ref="C74" si="53">+C69+$N$12</f>
        <v>13.9</v>
      </c>
      <c r="D74" s="201">
        <v>0.49299999999999999</v>
      </c>
      <c r="E74" s="201">
        <v>0.47899999999999998</v>
      </c>
      <c r="F74" s="41" t="s">
        <v>77</v>
      </c>
      <c r="G74" s="42">
        <v>0</v>
      </c>
      <c r="H74" s="43"/>
      <c r="I74" s="44"/>
      <c r="J74" s="45">
        <v>0.249</v>
      </c>
      <c r="K74" s="201">
        <f t="shared" ref="K74" si="54">+IF(E74&lt;=0.12,(J76),(IF(E74&lt;0.16,((J75+2*J76+J77)/4),IF(E74&gt;=0.16,((J74+3*J75+2*J76+3*J77+J78)/10)))))</f>
        <v>0.41830000000000001</v>
      </c>
      <c r="L74" s="201">
        <f>ROUND(+(D69+D74)/2*(C74-C69),3)</f>
        <v>0.46300000000000002</v>
      </c>
      <c r="M74" s="201">
        <f t="shared" ref="M74" si="55">ROUND(+K74*L74,4)</f>
        <v>0.19370000000000001</v>
      </c>
      <c r="N74" s="204">
        <f>ROUND(+M74/$M$123*100,2)</f>
        <v>5.51</v>
      </c>
      <c r="O74" s="205"/>
      <c r="P74" s="206"/>
      <c r="Q74" s="32"/>
      <c r="R74" s="98"/>
      <c r="T74" s="32"/>
      <c r="U74" s="32"/>
    </row>
    <row r="75" spans="1:21" s="40" customFormat="1" ht="13.5" customHeight="1" x14ac:dyDescent="0.25">
      <c r="A75" s="32"/>
      <c r="B75" s="222"/>
      <c r="C75" s="202"/>
      <c r="D75" s="202"/>
      <c r="E75" s="202"/>
      <c r="F75" s="46" t="s">
        <v>78</v>
      </c>
      <c r="G75" s="47">
        <f t="shared" ref="G75" si="56">IF(E74&lt;0.125,"NA",IF(0.125&lt;=E74,(0.2*E74)))</f>
        <v>9.5799999999999996E-2</v>
      </c>
      <c r="H75" s="48"/>
      <c r="I75" s="49"/>
      <c r="J75" s="50">
        <v>0.313</v>
      </c>
      <c r="K75" s="202"/>
      <c r="L75" s="202"/>
      <c r="M75" s="202"/>
      <c r="N75" s="202"/>
      <c r="O75" s="202"/>
      <c r="P75" s="207"/>
      <c r="Q75" s="32"/>
      <c r="R75" s="98"/>
      <c r="S75" s="98"/>
      <c r="T75" s="32"/>
      <c r="U75" s="32"/>
    </row>
    <row r="76" spans="1:21" s="40" customFormat="1" ht="13.5" customHeight="1" x14ac:dyDescent="0.25">
      <c r="A76" s="32"/>
      <c r="B76" s="222"/>
      <c r="C76" s="202"/>
      <c r="D76" s="202"/>
      <c r="E76" s="202"/>
      <c r="F76" s="46" t="s">
        <v>79</v>
      </c>
      <c r="G76" s="47">
        <f t="shared" ref="G76" si="57">+E74*0.4</f>
        <v>0.19159999999999999</v>
      </c>
      <c r="H76" s="48"/>
      <c r="I76" s="49"/>
      <c r="J76" s="50">
        <v>0.434</v>
      </c>
      <c r="K76" s="202"/>
      <c r="L76" s="202"/>
      <c r="M76" s="202"/>
      <c r="N76" s="202"/>
      <c r="O76" s="202"/>
      <c r="P76" s="207"/>
      <c r="Q76" s="32"/>
      <c r="R76" s="98"/>
      <c r="S76" s="98"/>
      <c r="T76" s="32"/>
      <c r="U76" s="32"/>
    </row>
    <row r="77" spans="1:21" s="40" customFormat="1" ht="13.5" customHeight="1" x14ac:dyDescent="0.25">
      <c r="A77" s="32"/>
      <c r="B77" s="222"/>
      <c r="C77" s="202"/>
      <c r="D77" s="202"/>
      <c r="E77" s="202"/>
      <c r="F77" s="46" t="s">
        <v>80</v>
      </c>
      <c r="G77" s="47">
        <f t="shared" ref="G77" si="58">IF(E74&lt;0.125,"NA",IF(0.125&lt;=E74,(0.8*E74)))</f>
        <v>0.38319999999999999</v>
      </c>
      <c r="H77" s="48"/>
      <c r="I77" s="49"/>
      <c r="J77" s="50">
        <v>0.49199999999999999</v>
      </c>
      <c r="K77" s="202"/>
      <c r="L77" s="202"/>
      <c r="M77" s="202"/>
      <c r="N77" s="202"/>
      <c r="O77" s="202"/>
      <c r="P77" s="207"/>
      <c r="Q77" s="32"/>
      <c r="R77" s="98"/>
      <c r="S77" s="98"/>
      <c r="T77" s="32"/>
      <c r="U77" s="32"/>
    </row>
    <row r="78" spans="1:21" s="40" customFormat="1" ht="13.5" customHeight="1" thickBot="1" x14ac:dyDescent="0.3">
      <c r="A78" s="32"/>
      <c r="B78" s="223"/>
      <c r="C78" s="203"/>
      <c r="D78" s="203"/>
      <c r="E78" s="203"/>
      <c r="F78" s="51" t="s">
        <v>81</v>
      </c>
      <c r="G78" s="52">
        <f t="shared" ref="G78" si="59">+E74</f>
        <v>0.47899999999999998</v>
      </c>
      <c r="H78" s="53"/>
      <c r="I78" s="54"/>
      <c r="J78" s="55">
        <v>0.65100000000000002</v>
      </c>
      <c r="K78" s="203"/>
      <c r="L78" s="203"/>
      <c r="M78" s="203"/>
      <c r="N78" s="203"/>
      <c r="O78" s="203"/>
      <c r="P78" s="208"/>
      <c r="Q78" s="32"/>
      <c r="R78" s="98"/>
      <c r="S78" s="98"/>
      <c r="T78" s="32"/>
      <c r="U78" s="32"/>
    </row>
    <row r="79" spans="1:21" s="40" customFormat="1" ht="13.5" customHeight="1" x14ac:dyDescent="0.25">
      <c r="A79" s="32"/>
      <c r="B79" s="221">
        <v>13</v>
      </c>
      <c r="C79" s="224">
        <f t="shared" ref="C79:C84" si="60">+C74+$N$12</f>
        <v>14.9</v>
      </c>
      <c r="D79" s="201">
        <v>0.625</v>
      </c>
      <c r="E79" s="201">
        <v>0.52400000000000002</v>
      </c>
      <c r="F79" s="41" t="s">
        <v>77</v>
      </c>
      <c r="G79" s="42">
        <v>0</v>
      </c>
      <c r="H79" s="43"/>
      <c r="I79" s="44"/>
      <c r="J79" s="45">
        <v>0.246</v>
      </c>
      <c r="K79" s="201">
        <f>+IF(E79&lt;=0.12,(J81),(IF(E79&lt;0.16,((J80+2*J81+J82)/4),IF(E79&gt;=0.16,((J79+3*J80+2*J81+3*J82+J83)/10)))))</f>
        <v>0.48670000000000002</v>
      </c>
      <c r="L79" s="201">
        <f>ROUND(+(D74+D79)/2*(C79-C74),3)</f>
        <v>0.55900000000000005</v>
      </c>
      <c r="M79" s="201">
        <f>ROUND(+K79*L79,4)</f>
        <v>0.27210000000000001</v>
      </c>
      <c r="N79" s="204">
        <f>ROUND(+M79/$M$123*100,2)</f>
        <v>7.75</v>
      </c>
      <c r="O79" s="205"/>
      <c r="P79" s="206"/>
      <c r="Q79" s="32"/>
      <c r="R79" s="98"/>
      <c r="T79" s="32"/>
      <c r="U79" s="32"/>
    </row>
    <row r="80" spans="1:21" s="40" customFormat="1" ht="13.5" customHeight="1" x14ac:dyDescent="0.25">
      <c r="A80" s="32"/>
      <c r="B80" s="222"/>
      <c r="C80" s="202"/>
      <c r="D80" s="202"/>
      <c r="E80" s="202"/>
      <c r="F80" s="46" t="s">
        <v>78</v>
      </c>
      <c r="G80" s="47">
        <f t="shared" ref="G80" si="61">IF(E79&lt;0.125,"NA",IF(0.125&lt;=E79,(0.2*E79)))</f>
        <v>0.1048</v>
      </c>
      <c r="H80" s="48"/>
      <c r="I80" s="49"/>
      <c r="J80" s="50">
        <v>0.44700000000000001</v>
      </c>
      <c r="K80" s="202"/>
      <c r="L80" s="202"/>
      <c r="M80" s="202"/>
      <c r="N80" s="202"/>
      <c r="O80" s="202"/>
      <c r="P80" s="207"/>
      <c r="Q80" s="32"/>
      <c r="R80" s="98"/>
      <c r="S80" s="98"/>
      <c r="T80" s="32"/>
      <c r="U80" s="32"/>
    </row>
    <row r="81" spans="1:21" s="40" customFormat="1" ht="13.5" customHeight="1" x14ac:dyDescent="0.25">
      <c r="A81" s="32"/>
      <c r="B81" s="222"/>
      <c r="C81" s="202"/>
      <c r="D81" s="202"/>
      <c r="E81" s="202"/>
      <c r="F81" s="46" t="s">
        <v>79</v>
      </c>
      <c r="G81" s="47">
        <f t="shared" ref="G81" si="62">+E79*0.4</f>
        <v>0.20960000000000001</v>
      </c>
      <c r="H81" s="48"/>
      <c r="I81" s="49"/>
      <c r="J81" s="50">
        <v>0.51500000000000001</v>
      </c>
      <c r="K81" s="202"/>
      <c r="L81" s="202"/>
      <c r="M81" s="202"/>
      <c r="N81" s="202"/>
      <c r="O81" s="202"/>
      <c r="P81" s="207"/>
      <c r="Q81" s="32"/>
      <c r="R81" s="98"/>
      <c r="S81" s="98"/>
      <c r="T81" s="32"/>
      <c r="U81" s="32"/>
    </row>
    <row r="82" spans="1:21" s="40" customFormat="1" ht="13.5" customHeight="1" x14ac:dyDescent="0.25">
      <c r="A82" s="32"/>
      <c r="B82" s="222"/>
      <c r="C82" s="202"/>
      <c r="D82" s="202"/>
      <c r="E82" s="202"/>
      <c r="F82" s="46" t="s">
        <v>80</v>
      </c>
      <c r="G82" s="47">
        <f t="shared" ref="G82" si="63">IF(E79&lt;0.125,"NA",IF(0.125&lt;=E79,(0.8*E79)))</f>
        <v>0.41920000000000002</v>
      </c>
      <c r="H82" s="48"/>
      <c r="I82" s="49"/>
      <c r="J82" s="50">
        <v>0.54100000000000004</v>
      </c>
      <c r="K82" s="202"/>
      <c r="L82" s="202"/>
      <c r="M82" s="202"/>
      <c r="N82" s="202"/>
      <c r="O82" s="202"/>
      <c r="P82" s="207"/>
      <c r="Q82" s="32"/>
      <c r="R82" s="98"/>
      <c r="S82" s="98"/>
      <c r="T82" s="32"/>
      <c r="U82" s="32"/>
    </row>
    <row r="83" spans="1:21" s="40" customFormat="1" ht="13.5" customHeight="1" thickBot="1" x14ac:dyDescent="0.3">
      <c r="A83" s="32"/>
      <c r="B83" s="223"/>
      <c r="C83" s="203"/>
      <c r="D83" s="203"/>
      <c r="E83" s="203"/>
      <c r="F83" s="51" t="s">
        <v>81</v>
      </c>
      <c r="G83" s="52">
        <f t="shared" ref="G83" si="64">+E79</f>
        <v>0.52400000000000002</v>
      </c>
      <c r="H83" s="53"/>
      <c r="I83" s="54"/>
      <c r="J83" s="55">
        <v>0.627</v>
      </c>
      <c r="K83" s="203"/>
      <c r="L83" s="203"/>
      <c r="M83" s="203"/>
      <c r="N83" s="203"/>
      <c r="O83" s="203"/>
      <c r="P83" s="208"/>
      <c r="Q83" s="32"/>
      <c r="R83" s="98"/>
      <c r="S83" s="98"/>
      <c r="T83" s="32"/>
      <c r="U83" s="32"/>
    </row>
    <row r="84" spans="1:21" s="40" customFormat="1" ht="13.5" customHeight="1" x14ac:dyDescent="0.25">
      <c r="A84" s="32"/>
      <c r="B84" s="221">
        <v>14</v>
      </c>
      <c r="C84" s="224">
        <f t="shared" si="60"/>
        <v>15.9</v>
      </c>
      <c r="D84" s="201">
        <v>0.69299999999999995</v>
      </c>
      <c r="E84" s="201">
        <v>0.59899999999999998</v>
      </c>
      <c r="F84" s="41" t="s">
        <v>77</v>
      </c>
      <c r="G84" s="42">
        <v>0</v>
      </c>
      <c r="H84" s="43"/>
      <c r="I84" s="44"/>
      <c r="J84" s="45">
        <v>0.23599999999999999</v>
      </c>
      <c r="K84" s="201">
        <f>+IF(E84&lt;=0.12,(J86),(IF(E84&lt;0.16,((J85+2*J86+J87)/4),IF(E84&gt;=0.16,((J84+3*J85+2*J86+3*J87+J88)/10)))))</f>
        <v>0.39740000000000003</v>
      </c>
      <c r="L84" s="201">
        <f>ROUND(+(D79+D84)/2*(C84-C79),3)</f>
        <v>0.65900000000000003</v>
      </c>
      <c r="M84" s="201">
        <f>ROUND(+K84*L84,4)</f>
        <v>0.26190000000000002</v>
      </c>
      <c r="N84" s="204">
        <f>ROUND(+M84/$M$123*100,2)</f>
        <v>7.46</v>
      </c>
      <c r="O84" s="205"/>
      <c r="P84" s="206"/>
      <c r="Q84" s="32"/>
      <c r="R84" s="98"/>
      <c r="T84" s="32"/>
      <c r="U84" s="32"/>
    </row>
    <row r="85" spans="1:21" s="40" customFormat="1" ht="13.5" customHeight="1" x14ac:dyDescent="0.25">
      <c r="A85" s="32"/>
      <c r="B85" s="222"/>
      <c r="C85" s="202"/>
      <c r="D85" s="202"/>
      <c r="E85" s="202"/>
      <c r="F85" s="46" t="s">
        <v>78</v>
      </c>
      <c r="G85" s="47">
        <f t="shared" ref="G85" si="65">IF(E84&lt;0.125,"NA",IF(0.125&lt;=E84,(0.2*E84)))</f>
        <v>0.1198</v>
      </c>
      <c r="H85" s="48"/>
      <c r="I85" s="49"/>
      <c r="J85" s="50">
        <v>0.372</v>
      </c>
      <c r="K85" s="202"/>
      <c r="L85" s="202"/>
      <c r="M85" s="202"/>
      <c r="N85" s="202"/>
      <c r="O85" s="202"/>
      <c r="P85" s="207"/>
      <c r="Q85" s="32"/>
      <c r="R85" s="98"/>
      <c r="S85" s="98"/>
      <c r="T85" s="32"/>
      <c r="U85" s="32"/>
    </row>
    <row r="86" spans="1:21" s="40" customFormat="1" ht="13.5" customHeight="1" x14ac:dyDescent="0.25">
      <c r="A86" s="32"/>
      <c r="B86" s="222"/>
      <c r="C86" s="202"/>
      <c r="D86" s="202"/>
      <c r="E86" s="202"/>
      <c r="F86" s="46" t="s">
        <v>79</v>
      </c>
      <c r="G86" s="47">
        <f t="shared" ref="G86" si="66">+E84*0.4</f>
        <v>0.23960000000000001</v>
      </c>
      <c r="H86" s="48"/>
      <c r="I86" s="49"/>
      <c r="J86" s="50">
        <v>0.34799999999999998</v>
      </c>
      <c r="K86" s="202"/>
      <c r="L86" s="202"/>
      <c r="M86" s="202"/>
      <c r="N86" s="202"/>
      <c r="O86" s="202"/>
      <c r="P86" s="207"/>
      <c r="Q86" s="32"/>
      <c r="R86" s="98"/>
      <c r="S86" s="98"/>
      <c r="T86" s="32"/>
      <c r="U86" s="32"/>
    </row>
    <row r="87" spans="1:21" s="40" customFormat="1" ht="13.5" customHeight="1" x14ac:dyDescent="0.25">
      <c r="A87" s="32"/>
      <c r="B87" s="222"/>
      <c r="C87" s="202"/>
      <c r="D87" s="202"/>
      <c r="E87" s="202"/>
      <c r="F87" s="46" t="s">
        <v>80</v>
      </c>
      <c r="G87" s="47">
        <f t="shared" ref="G87" si="67">IF(E84&lt;0.125,"NA",IF(0.125&lt;=E84,(0.8*E84)))</f>
        <v>0.47920000000000001</v>
      </c>
      <c r="H87" s="48"/>
      <c r="I87" s="49"/>
      <c r="J87" s="50">
        <v>0.44</v>
      </c>
      <c r="K87" s="202"/>
      <c r="L87" s="202"/>
      <c r="M87" s="202"/>
      <c r="N87" s="202"/>
      <c r="O87" s="202"/>
      <c r="P87" s="207"/>
      <c r="Q87" s="32"/>
      <c r="R87" s="98"/>
      <c r="S87" s="98"/>
      <c r="T87" s="32"/>
      <c r="U87" s="32"/>
    </row>
    <row r="88" spans="1:21" s="40" customFormat="1" ht="13.5" customHeight="1" thickBot="1" x14ac:dyDescent="0.3">
      <c r="A88" s="32"/>
      <c r="B88" s="223"/>
      <c r="C88" s="203"/>
      <c r="D88" s="203"/>
      <c r="E88" s="203"/>
      <c r="F88" s="51" t="s">
        <v>81</v>
      </c>
      <c r="G88" s="52">
        <f t="shared" ref="G88" si="68">+E84</f>
        <v>0.59899999999999998</v>
      </c>
      <c r="H88" s="53"/>
      <c r="I88" s="54"/>
      <c r="J88" s="55">
        <v>0.60599999999999998</v>
      </c>
      <c r="K88" s="203"/>
      <c r="L88" s="203"/>
      <c r="M88" s="203"/>
      <c r="N88" s="203"/>
      <c r="O88" s="203"/>
      <c r="P88" s="208"/>
      <c r="Q88" s="32"/>
      <c r="R88" s="98"/>
      <c r="S88" s="98"/>
      <c r="T88" s="32"/>
      <c r="U88" s="32"/>
    </row>
    <row r="89" spans="1:21" s="40" customFormat="1" ht="13.5" customHeight="1" x14ac:dyDescent="0.25">
      <c r="A89" s="32"/>
      <c r="B89" s="221">
        <v>15</v>
      </c>
      <c r="C89" s="224">
        <f>+C84+$N$12</f>
        <v>16.899999999999999</v>
      </c>
      <c r="D89" s="201">
        <v>0.74199999999999999</v>
      </c>
      <c r="E89" s="201">
        <v>0.70899999999999996</v>
      </c>
      <c r="F89" s="41" t="s">
        <v>77</v>
      </c>
      <c r="G89" s="42">
        <v>0</v>
      </c>
      <c r="H89" s="43"/>
      <c r="I89" s="44"/>
      <c r="J89" s="45">
        <v>0.215</v>
      </c>
      <c r="K89" s="201">
        <f>+IF(E89&lt;=0.12,(J91),(IF(E89&lt;0.16,((J90+2*J91+J92)/4),IF(E89&gt;=0.16,((J89+3*J90+2*J91+3*J92+J93)/10)))))</f>
        <v>0.45910000000000001</v>
      </c>
      <c r="L89" s="201">
        <f>ROUND(+(D84+D89)/2*(C89-C84),3)</f>
        <v>0.71699999999999997</v>
      </c>
      <c r="M89" s="201">
        <f>ROUND(+K89*L89,4)</f>
        <v>0.32919999999999999</v>
      </c>
      <c r="N89" s="204">
        <f>ROUND(+M89/$M$123*100,2)</f>
        <v>9.3699999999999992</v>
      </c>
      <c r="O89" s="205"/>
      <c r="P89" s="206"/>
      <c r="Q89" s="32"/>
      <c r="R89" s="98"/>
      <c r="T89" s="32"/>
      <c r="U89" s="32"/>
    </row>
    <row r="90" spans="1:21" s="40" customFormat="1" ht="13.5" customHeight="1" x14ac:dyDescent="0.25">
      <c r="A90" s="32"/>
      <c r="B90" s="222"/>
      <c r="C90" s="202"/>
      <c r="D90" s="202"/>
      <c r="E90" s="202"/>
      <c r="F90" s="46" t="s">
        <v>78</v>
      </c>
      <c r="G90" s="47">
        <f t="shared" ref="G90" si="69">IF(E89&lt;0.125,"NA",IF(0.125&lt;=E89,(0.2*E89)))</f>
        <v>0.14180000000000001</v>
      </c>
      <c r="H90" s="48"/>
      <c r="I90" s="49"/>
      <c r="J90" s="50">
        <v>0.31</v>
      </c>
      <c r="K90" s="202"/>
      <c r="L90" s="202"/>
      <c r="M90" s="202"/>
      <c r="N90" s="202"/>
      <c r="O90" s="202"/>
      <c r="P90" s="207"/>
      <c r="Q90" s="32"/>
      <c r="R90" s="98"/>
      <c r="S90" s="98"/>
      <c r="T90" s="32"/>
      <c r="U90" s="32"/>
    </row>
    <row r="91" spans="1:21" s="40" customFormat="1" ht="13.5" customHeight="1" x14ac:dyDescent="0.25">
      <c r="A91" s="32"/>
      <c r="B91" s="222"/>
      <c r="C91" s="202"/>
      <c r="D91" s="202"/>
      <c r="E91" s="202"/>
      <c r="F91" s="46" t="s">
        <v>79</v>
      </c>
      <c r="G91" s="47">
        <f t="shared" ref="G91" si="70">+E89*0.4</f>
        <v>0.28360000000000002</v>
      </c>
      <c r="H91" s="48"/>
      <c r="I91" s="49"/>
      <c r="J91" s="50">
        <v>0.51400000000000001</v>
      </c>
      <c r="K91" s="202"/>
      <c r="L91" s="202"/>
      <c r="M91" s="202"/>
      <c r="N91" s="202"/>
      <c r="O91" s="202"/>
      <c r="P91" s="207"/>
      <c r="Q91" s="32"/>
      <c r="R91" s="98"/>
      <c r="S91" s="98"/>
      <c r="T91" s="32"/>
      <c r="U91" s="32"/>
    </row>
    <row r="92" spans="1:21" s="40" customFormat="1" ht="13.5" customHeight="1" x14ac:dyDescent="0.25">
      <c r="A92" s="32"/>
      <c r="B92" s="222"/>
      <c r="C92" s="202"/>
      <c r="D92" s="202"/>
      <c r="E92" s="202"/>
      <c r="F92" s="46" t="s">
        <v>80</v>
      </c>
      <c r="G92" s="47">
        <f t="shared" ref="G92" si="71">IF(E89&lt;0.125,"NA",IF(0.125&lt;=E89,(0.8*E89)))</f>
        <v>0.56720000000000004</v>
      </c>
      <c r="H92" s="48"/>
      <c r="I92" s="49"/>
      <c r="J92" s="50">
        <v>0.60799999999999998</v>
      </c>
      <c r="K92" s="202"/>
      <c r="L92" s="202"/>
      <c r="M92" s="202"/>
      <c r="N92" s="202"/>
      <c r="O92" s="202"/>
      <c r="P92" s="207"/>
      <c r="Q92" s="32"/>
      <c r="R92" s="98"/>
      <c r="S92" s="98"/>
      <c r="T92" s="32"/>
      <c r="U92" s="32"/>
    </row>
    <row r="93" spans="1:21" s="40" customFormat="1" ht="13.5" customHeight="1" thickBot="1" x14ac:dyDescent="0.3">
      <c r="A93" s="32"/>
      <c r="B93" s="223"/>
      <c r="C93" s="203"/>
      <c r="D93" s="203"/>
      <c r="E93" s="203"/>
      <c r="F93" s="51" t="s">
        <v>81</v>
      </c>
      <c r="G93" s="52">
        <f t="shared" ref="G93" si="72">+E89</f>
        <v>0.70899999999999996</v>
      </c>
      <c r="H93" s="53"/>
      <c r="I93" s="54"/>
      <c r="J93" s="55">
        <v>0.59399999999999997</v>
      </c>
      <c r="K93" s="203"/>
      <c r="L93" s="203"/>
      <c r="M93" s="203"/>
      <c r="N93" s="203"/>
      <c r="O93" s="203"/>
      <c r="P93" s="208"/>
      <c r="Q93" s="32"/>
      <c r="R93" s="98"/>
      <c r="S93" s="98"/>
      <c r="T93" s="32"/>
      <c r="U93" s="32"/>
    </row>
    <row r="94" spans="1:21" s="40" customFormat="1" ht="13.5" customHeight="1" x14ac:dyDescent="0.25">
      <c r="A94" s="32"/>
      <c r="B94" s="221">
        <v>16</v>
      </c>
      <c r="C94" s="224">
        <f>+C89+$N$12</f>
        <v>17.899999999999999</v>
      </c>
      <c r="D94" s="201">
        <v>0.84199999999999997</v>
      </c>
      <c r="E94" s="201">
        <v>0.749</v>
      </c>
      <c r="F94" s="41" t="s">
        <v>77</v>
      </c>
      <c r="G94" s="42">
        <v>0</v>
      </c>
      <c r="H94" s="43"/>
      <c r="I94" s="44"/>
      <c r="J94" s="45">
        <v>4.3999999999999997E-2</v>
      </c>
      <c r="K94" s="201">
        <f>+IF(E94&lt;=0.12,(J96),(IF(E94&lt;0.16,((J95+2*J96+J97)/4),IF(E94&gt;=0.16,((J94+3*J95+2*J96+3*J97+J98)/10)))))</f>
        <v>0.1762</v>
      </c>
      <c r="L94" s="201">
        <f>ROUND(+(D89+D94)/2*(C94-C89),3)</f>
        <v>0.79200000000000004</v>
      </c>
      <c r="M94" s="201">
        <f>ROUND(+K94*L94,4)</f>
        <v>0.1396</v>
      </c>
      <c r="N94" s="204">
        <f>ROUND(+M94/$M$123*100,2)</f>
        <v>3.97</v>
      </c>
      <c r="O94" s="205"/>
      <c r="P94" s="206"/>
      <c r="Q94" s="32"/>
      <c r="R94" s="98"/>
      <c r="T94" s="32"/>
      <c r="U94" s="32"/>
    </row>
    <row r="95" spans="1:21" s="40" customFormat="1" ht="13.5" customHeight="1" x14ac:dyDescent="0.25">
      <c r="A95" s="32"/>
      <c r="B95" s="222"/>
      <c r="C95" s="202"/>
      <c r="D95" s="202"/>
      <c r="E95" s="202"/>
      <c r="F95" s="46" t="s">
        <v>78</v>
      </c>
      <c r="G95" s="47">
        <f t="shared" ref="G95" si="73">IF(E94&lt;0.125,"NA",IF(0.125&lt;=E94,(0.2*E94)))</f>
        <v>0.14980000000000002</v>
      </c>
      <c r="H95" s="48"/>
      <c r="I95" s="49"/>
      <c r="J95" s="50">
        <v>0.16700000000000001</v>
      </c>
      <c r="K95" s="202"/>
      <c r="L95" s="202"/>
      <c r="M95" s="202"/>
      <c r="N95" s="202"/>
      <c r="O95" s="202"/>
      <c r="P95" s="207"/>
      <c r="Q95" s="32"/>
      <c r="R95" s="98"/>
      <c r="S95" s="98"/>
      <c r="T95" s="32"/>
      <c r="U95" s="32"/>
    </row>
    <row r="96" spans="1:21" s="40" customFormat="1" ht="13.5" customHeight="1" x14ac:dyDescent="0.25">
      <c r="A96" s="32"/>
      <c r="B96" s="222"/>
      <c r="C96" s="202"/>
      <c r="D96" s="202"/>
      <c r="E96" s="202"/>
      <c r="F96" s="46" t="s">
        <v>79</v>
      </c>
      <c r="G96" s="47">
        <f t="shared" ref="G96" si="74">+E94*0.4</f>
        <v>0.29960000000000003</v>
      </c>
      <c r="H96" s="48"/>
      <c r="I96" s="49"/>
      <c r="J96" s="50">
        <v>0.19</v>
      </c>
      <c r="K96" s="202"/>
      <c r="L96" s="202"/>
      <c r="M96" s="202"/>
      <c r="N96" s="202"/>
      <c r="O96" s="202"/>
      <c r="P96" s="207"/>
      <c r="Q96" s="32"/>
      <c r="R96" s="98"/>
      <c r="S96" s="98"/>
      <c r="T96" s="32"/>
      <c r="U96" s="32"/>
    </row>
    <row r="97" spans="1:21" s="40" customFormat="1" ht="13.5" customHeight="1" x14ac:dyDescent="0.25">
      <c r="A97" s="32"/>
      <c r="B97" s="222"/>
      <c r="C97" s="202"/>
      <c r="D97" s="202"/>
      <c r="E97" s="202"/>
      <c r="F97" s="46" t="s">
        <v>80</v>
      </c>
      <c r="G97" s="47">
        <f t="shared" ref="G97" si="75">IF(E94&lt;0.125,"NA",IF(0.125&lt;=E94,(0.8*E94)))</f>
        <v>0.59920000000000007</v>
      </c>
      <c r="H97" s="48"/>
      <c r="I97" s="49"/>
      <c r="J97" s="50">
        <v>0.20699999999999999</v>
      </c>
      <c r="K97" s="202"/>
      <c r="L97" s="202"/>
      <c r="M97" s="202"/>
      <c r="N97" s="202"/>
      <c r="O97" s="202"/>
      <c r="P97" s="207"/>
      <c r="Q97" s="32"/>
      <c r="R97" s="98"/>
      <c r="S97" s="98"/>
      <c r="T97" s="32"/>
      <c r="U97" s="32"/>
    </row>
    <row r="98" spans="1:21" s="40" customFormat="1" ht="13.5" customHeight="1" thickBot="1" x14ac:dyDescent="0.3">
      <c r="A98" s="32"/>
      <c r="B98" s="223"/>
      <c r="C98" s="203"/>
      <c r="D98" s="203"/>
      <c r="E98" s="203"/>
      <c r="F98" s="51" t="s">
        <v>81</v>
      </c>
      <c r="G98" s="52">
        <f t="shared" ref="G98" si="76">+E94</f>
        <v>0.749</v>
      </c>
      <c r="H98" s="53"/>
      <c r="I98" s="54"/>
      <c r="J98" s="55">
        <v>0.216</v>
      </c>
      <c r="K98" s="203"/>
      <c r="L98" s="203"/>
      <c r="M98" s="203"/>
      <c r="N98" s="203"/>
      <c r="O98" s="203"/>
      <c r="P98" s="208"/>
      <c r="Q98" s="32"/>
      <c r="R98" s="98"/>
      <c r="S98" s="98"/>
      <c r="T98" s="32"/>
      <c r="U98" s="32"/>
    </row>
    <row r="99" spans="1:21" s="40" customFormat="1" ht="13.5" customHeight="1" x14ac:dyDescent="0.25">
      <c r="A99" s="32"/>
      <c r="B99" s="221">
        <v>17</v>
      </c>
      <c r="C99" s="224">
        <f>+C94+1.4</f>
        <v>19.299999999999997</v>
      </c>
      <c r="D99" s="201">
        <v>0</v>
      </c>
      <c r="E99" s="201">
        <v>0.41599999999999998</v>
      </c>
      <c r="F99" s="41" t="s">
        <v>77</v>
      </c>
      <c r="G99" s="42">
        <v>0</v>
      </c>
      <c r="H99" s="43"/>
      <c r="I99" s="44"/>
      <c r="J99" s="45">
        <v>2.4E-2</v>
      </c>
      <c r="K99" s="201">
        <f>+IF(E99&lt;=0.12,(J101),(IF(E99&lt;0.16,((J100+2*J101+J102)/4),IF(E99&gt;=0.16,((J99+3*J100+2*J101+3*J102+J103)/10)))))</f>
        <v>6.5500000000000003E-2</v>
      </c>
      <c r="L99" s="201">
        <f>ROUND(+(D94+D99)/2*(C99-C94),3)</f>
        <v>0.58899999999999997</v>
      </c>
      <c r="M99" s="201">
        <f>ROUND(+K99*L99,4)</f>
        <v>3.8600000000000002E-2</v>
      </c>
      <c r="N99" s="204">
        <f>ROUND(+M99/$M$123*100,2)</f>
        <v>1.1000000000000001</v>
      </c>
      <c r="O99" s="205"/>
      <c r="P99" s="206"/>
      <c r="Q99" s="32"/>
      <c r="R99" s="98"/>
      <c r="T99" s="32"/>
      <c r="U99" s="32"/>
    </row>
    <row r="100" spans="1:21" s="40" customFormat="1" ht="13.5" customHeight="1" x14ac:dyDescent="0.25">
      <c r="A100" s="32"/>
      <c r="B100" s="222"/>
      <c r="C100" s="202"/>
      <c r="D100" s="202"/>
      <c r="E100" s="202"/>
      <c r="F100" s="46" t="s">
        <v>78</v>
      </c>
      <c r="G100" s="47">
        <f t="shared" ref="G100" si="77">IF(E99&lt;0.125,"NA",IF(0.125&lt;=E99,(0.2*E99)))</f>
        <v>8.3199999999999996E-2</v>
      </c>
      <c r="H100" s="48"/>
      <c r="I100" s="49"/>
      <c r="J100" s="50">
        <v>3.2000000000000001E-2</v>
      </c>
      <c r="K100" s="202"/>
      <c r="L100" s="202"/>
      <c r="M100" s="202"/>
      <c r="N100" s="202"/>
      <c r="O100" s="202"/>
      <c r="P100" s="207"/>
      <c r="Q100" s="32"/>
      <c r="R100" s="98"/>
      <c r="S100" s="98"/>
      <c r="T100" s="32"/>
      <c r="U100" s="32"/>
    </row>
    <row r="101" spans="1:21" s="40" customFormat="1" ht="13.5" customHeight="1" x14ac:dyDescent="0.25">
      <c r="A101" s="32"/>
      <c r="B101" s="222"/>
      <c r="C101" s="202"/>
      <c r="D101" s="202"/>
      <c r="E101" s="202"/>
      <c r="F101" s="46" t="s">
        <v>79</v>
      </c>
      <c r="G101" s="47">
        <f t="shared" ref="G101" si="78">+E99*0.4</f>
        <v>0.16639999999999999</v>
      </c>
      <c r="H101" s="48"/>
      <c r="I101" s="49"/>
      <c r="J101" s="50">
        <v>6.8000000000000005E-2</v>
      </c>
      <c r="K101" s="202"/>
      <c r="L101" s="202"/>
      <c r="M101" s="202"/>
      <c r="N101" s="202"/>
      <c r="O101" s="202"/>
      <c r="P101" s="207"/>
      <c r="Q101" s="32"/>
      <c r="R101" s="98"/>
      <c r="S101" s="98"/>
      <c r="T101" s="32"/>
      <c r="U101" s="32"/>
    </row>
    <row r="102" spans="1:21" s="40" customFormat="1" ht="13.5" customHeight="1" x14ac:dyDescent="0.25">
      <c r="A102" s="32"/>
      <c r="B102" s="222"/>
      <c r="C102" s="202"/>
      <c r="D102" s="202"/>
      <c r="E102" s="202"/>
      <c r="F102" s="46" t="s">
        <v>80</v>
      </c>
      <c r="G102" s="47">
        <f t="shared" ref="G102" si="79">IF(E99&lt;0.125,"NA",IF(0.125&lt;=E99,(0.8*E99)))</f>
        <v>0.33279999999999998</v>
      </c>
      <c r="H102" s="48"/>
      <c r="I102" s="49"/>
      <c r="J102" s="50">
        <v>0.10100000000000001</v>
      </c>
      <c r="K102" s="202"/>
      <c r="L102" s="202"/>
      <c r="M102" s="202"/>
      <c r="N102" s="202"/>
      <c r="O102" s="202"/>
      <c r="P102" s="207"/>
      <c r="Q102" s="32"/>
      <c r="R102" s="98"/>
      <c r="S102" s="98"/>
      <c r="T102" s="32"/>
      <c r="U102" s="32"/>
    </row>
    <row r="103" spans="1:21" s="40" customFormat="1" ht="13.5" customHeight="1" thickBot="1" x14ac:dyDescent="0.3">
      <c r="A103" s="32"/>
      <c r="B103" s="223"/>
      <c r="C103" s="203"/>
      <c r="D103" s="203"/>
      <c r="E103" s="203"/>
      <c r="F103" s="51" t="s">
        <v>81</v>
      </c>
      <c r="G103" s="52">
        <f t="shared" ref="G103" si="80">+E99</f>
        <v>0.41599999999999998</v>
      </c>
      <c r="H103" s="53"/>
      <c r="I103" s="54"/>
      <c r="J103" s="55">
        <v>9.6000000000000002E-2</v>
      </c>
      <c r="K103" s="203"/>
      <c r="L103" s="203"/>
      <c r="M103" s="203"/>
      <c r="N103" s="203"/>
      <c r="O103" s="203"/>
      <c r="P103" s="208"/>
      <c r="Q103" s="32"/>
      <c r="R103" s="98"/>
      <c r="S103" s="32"/>
      <c r="T103" s="32"/>
      <c r="U103" s="32"/>
    </row>
    <row r="104" spans="1:21" s="3" customFormat="1" ht="14.1" customHeight="1" x14ac:dyDescent="0.2">
      <c r="B104" s="209" t="s">
        <v>28</v>
      </c>
      <c r="C104" s="212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4"/>
      <c r="R104" s="98"/>
    </row>
    <row r="105" spans="1:21" s="3" customFormat="1" ht="14.1" customHeight="1" x14ac:dyDescent="0.2">
      <c r="B105" s="210"/>
      <c r="C105" s="215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7"/>
    </row>
    <row r="106" spans="1:21" s="3" customFormat="1" ht="14.1" customHeight="1" x14ac:dyDescent="0.2">
      <c r="B106" s="210"/>
      <c r="C106" s="215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7"/>
    </row>
    <row r="107" spans="1:21" s="3" customFormat="1" ht="14.1" customHeight="1" x14ac:dyDescent="0.2">
      <c r="B107" s="210"/>
      <c r="C107" s="215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7"/>
    </row>
    <row r="108" spans="1:21" s="3" customFormat="1" ht="14.1" customHeight="1" x14ac:dyDescent="0.2">
      <c r="B108" s="210"/>
      <c r="C108" s="215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7"/>
    </row>
    <row r="109" spans="1:21" s="3" customFormat="1" ht="14.1" customHeight="1" thickBot="1" x14ac:dyDescent="0.25">
      <c r="B109" s="211"/>
      <c r="C109" s="218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20"/>
    </row>
    <row r="110" spans="1:21" s="3" customFormat="1" ht="28.5" customHeight="1" thickBot="1" x14ac:dyDescent="0.25">
      <c r="A110" s="56"/>
      <c r="B110" s="57" t="s">
        <v>82</v>
      </c>
      <c r="C110" s="188" t="s">
        <v>83</v>
      </c>
      <c r="D110" s="188"/>
      <c r="E110" s="188"/>
      <c r="F110" s="188"/>
      <c r="G110" s="188"/>
      <c r="H110" s="189"/>
      <c r="I110" s="190"/>
      <c r="J110" s="57" t="s">
        <v>84</v>
      </c>
      <c r="K110" s="188" t="s">
        <v>85</v>
      </c>
      <c r="L110" s="188"/>
      <c r="M110" s="188"/>
      <c r="N110" s="188"/>
      <c r="O110" s="188"/>
      <c r="P110" s="189"/>
    </row>
    <row r="111" spans="1:21" s="3" customFormat="1" ht="28.5" customHeight="1" thickBot="1" x14ac:dyDescent="0.25">
      <c r="B111" s="58" t="s">
        <v>86</v>
      </c>
      <c r="C111" s="192" t="s">
        <v>87</v>
      </c>
      <c r="D111" s="192"/>
      <c r="E111" s="192"/>
      <c r="F111" s="192"/>
      <c r="G111" s="192"/>
      <c r="H111" s="193"/>
      <c r="I111" s="191"/>
      <c r="J111" s="58" t="s">
        <v>88</v>
      </c>
      <c r="K111" s="192" t="s">
        <v>89</v>
      </c>
      <c r="L111" s="192"/>
      <c r="M111" s="192"/>
      <c r="N111" s="192"/>
      <c r="O111" s="192"/>
      <c r="P111" s="193"/>
    </row>
    <row r="112" spans="1:21" s="19" customFormat="1" ht="13.5" customHeight="1" x14ac:dyDescent="0.25">
      <c r="A112" s="59"/>
      <c r="B112" s="194">
        <f>+B44</f>
        <v>6</v>
      </c>
      <c r="C112" s="197">
        <f>+C39</f>
        <v>6.9</v>
      </c>
      <c r="D112" s="199">
        <f>+D39</f>
        <v>0.77700000000000002</v>
      </c>
      <c r="E112" s="199">
        <f>+E44</f>
        <v>0.81799999999999995</v>
      </c>
      <c r="F112" s="60" t="s">
        <v>77</v>
      </c>
      <c r="G112" s="60">
        <v>0.01</v>
      </c>
      <c r="H112" s="61"/>
      <c r="I112" s="62"/>
      <c r="J112" s="63">
        <v>0.39800000000000002</v>
      </c>
      <c r="K112" s="200">
        <f>+AVERAGE(J112:J122)</f>
        <v>0.56745454545454543</v>
      </c>
      <c r="L112" s="179">
        <f>ROUND(+(D112+D117)/2*(C117-C112),3)</f>
        <v>0.78300000000000003</v>
      </c>
      <c r="M112" s="182">
        <f>ROUND(+K112*L112,4)</f>
        <v>0.44429999999999997</v>
      </c>
      <c r="N112" s="179">
        <f>ROUND(+M112/$M$123*100,2)</f>
        <v>12.65</v>
      </c>
      <c r="O112" s="179"/>
      <c r="P112" s="183"/>
      <c r="Q112" s="64"/>
      <c r="R112" s="64"/>
      <c r="S112" s="64"/>
      <c r="T112" s="64"/>
      <c r="U112" s="64"/>
    </row>
    <row r="113" spans="1:21" s="19" customFormat="1" ht="13.5" customHeight="1" x14ac:dyDescent="0.25">
      <c r="A113" s="59"/>
      <c r="B113" s="195"/>
      <c r="C113" s="180"/>
      <c r="D113" s="180"/>
      <c r="E113" s="180"/>
      <c r="F113" s="65" t="s">
        <v>90</v>
      </c>
      <c r="G113" s="66">
        <f>+E112*0.1</f>
        <v>8.1799999999999998E-2</v>
      </c>
      <c r="H113" s="67"/>
      <c r="I113" s="68"/>
      <c r="J113" s="69">
        <v>0.47199999999999998</v>
      </c>
      <c r="K113" s="180"/>
      <c r="L113" s="180"/>
      <c r="M113" s="180"/>
      <c r="N113" s="180"/>
      <c r="O113" s="180"/>
      <c r="P113" s="184"/>
      <c r="Q113" s="64"/>
      <c r="R113" s="64"/>
      <c r="S113" s="64"/>
      <c r="T113" s="64"/>
      <c r="U113" s="64"/>
    </row>
    <row r="114" spans="1:21" s="19" customFormat="1" ht="13.5" customHeight="1" x14ac:dyDescent="0.25">
      <c r="A114" s="59"/>
      <c r="B114" s="195"/>
      <c r="C114" s="180"/>
      <c r="D114" s="180"/>
      <c r="E114" s="180"/>
      <c r="F114" s="65" t="s">
        <v>91</v>
      </c>
      <c r="G114" s="66">
        <f>+E112*0.2</f>
        <v>0.1636</v>
      </c>
      <c r="H114" s="67"/>
      <c r="I114" s="68"/>
      <c r="J114" s="69">
        <v>0.52700000000000002</v>
      </c>
      <c r="K114" s="180"/>
      <c r="L114" s="180"/>
      <c r="M114" s="180"/>
      <c r="N114" s="180"/>
      <c r="O114" s="180"/>
      <c r="P114" s="184"/>
      <c r="Q114" s="64"/>
      <c r="R114" s="64"/>
      <c r="S114" s="64"/>
      <c r="T114" s="64"/>
      <c r="U114" s="64"/>
    </row>
    <row r="115" spans="1:21" s="19" customFormat="1" ht="13.5" customHeight="1" x14ac:dyDescent="0.25">
      <c r="A115" s="59"/>
      <c r="B115" s="195"/>
      <c r="C115" s="180"/>
      <c r="D115" s="180"/>
      <c r="E115" s="180"/>
      <c r="F115" s="65" t="s">
        <v>92</v>
      </c>
      <c r="G115" s="66">
        <f>+E112*0.3</f>
        <v>0.24539999999999998</v>
      </c>
      <c r="H115" s="67"/>
      <c r="I115" s="68"/>
      <c r="J115" s="69">
        <v>0.54900000000000004</v>
      </c>
      <c r="K115" s="180"/>
      <c r="L115" s="180"/>
      <c r="M115" s="180"/>
      <c r="N115" s="180"/>
      <c r="O115" s="180"/>
      <c r="P115" s="184"/>
      <c r="Q115" s="64"/>
      <c r="R115" s="64"/>
      <c r="S115" s="64"/>
      <c r="T115" s="64"/>
      <c r="U115" s="64"/>
    </row>
    <row r="116" spans="1:21" s="19" customFormat="1" ht="13.5" customHeight="1" x14ac:dyDescent="0.25">
      <c r="A116" s="59"/>
      <c r="B116" s="195"/>
      <c r="C116" s="198"/>
      <c r="D116" s="198"/>
      <c r="E116" s="180"/>
      <c r="F116" s="65" t="s">
        <v>93</v>
      </c>
      <c r="G116" s="66">
        <f>+E112*0.4</f>
        <v>0.32719999999999999</v>
      </c>
      <c r="H116" s="67"/>
      <c r="I116" s="68"/>
      <c r="J116" s="69">
        <v>0.55400000000000005</v>
      </c>
      <c r="K116" s="180"/>
      <c r="L116" s="180"/>
      <c r="M116" s="180"/>
      <c r="N116" s="180"/>
      <c r="O116" s="180"/>
      <c r="P116" s="184"/>
      <c r="Q116" s="64"/>
      <c r="R116" s="64"/>
      <c r="S116" s="64"/>
      <c r="T116" s="64"/>
      <c r="U116" s="64"/>
    </row>
    <row r="117" spans="1:21" s="19" customFormat="1" ht="13.5" customHeight="1" x14ac:dyDescent="0.25">
      <c r="A117" s="59"/>
      <c r="B117" s="195"/>
      <c r="C117" s="186">
        <f>+C44</f>
        <v>7.9</v>
      </c>
      <c r="D117" s="187">
        <f>+D44</f>
        <v>0.78900000000000003</v>
      </c>
      <c r="E117" s="180"/>
      <c r="F117" s="65" t="s">
        <v>29</v>
      </c>
      <c r="G117" s="66">
        <f>+E112*0.5</f>
        <v>0.40899999999999997</v>
      </c>
      <c r="H117" s="67"/>
      <c r="I117" s="68"/>
      <c r="J117" s="69">
        <v>0.56299999999999994</v>
      </c>
      <c r="K117" s="180"/>
      <c r="L117" s="180"/>
      <c r="M117" s="180"/>
      <c r="N117" s="180"/>
      <c r="O117" s="180"/>
      <c r="P117" s="184"/>
      <c r="Q117" s="64"/>
      <c r="R117" s="64"/>
      <c r="S117" s="64"/>
      <c r="T117" s="64"/>
      <c r="U117" s="64"/>
    </row>
    <row r="118" spans="1:21" s="19" customFormat="1" ht="13.5" customHeight="1" x14ac:dyDescent="0.25">
      <c r="A118" s="59"/>
      <c r="B118" s="195"/>
      <c r="C118" s="180"/>
      <c r="D118" s="180"/>
      <c r="E118" s="180"/>
      <c r="F118" s="65" t="s">
        <v>94</v>
      </c>
      <c r="G118" s="66">
        <f>+E112*0.6</f>
        <v>0.49079999999999996</v>
      </c>
      <c r="H118" s="67"/>
      <c r="I118" s="68"/>
      <c r="J118" s="69">
        <v>0.56799999999999995</v>
      </c>
      <c r="K118" s="180"/>
      <c r="L118" s="180"/>
      <c r="M118" s="180"/>
      <c r="N118" s="180"/>
      <c r="O118" s="180"/>
      <c r="P118" s="184"/>
      <c r="Q118" s="64"/>
      <c r="R118" s="64"/>
      <c r="S118" s="64"/>
      <c r="T118" s="64"/>
      <c r="U118" s="64"/>
    </row>
    <row r="119" spans="1:21" s="19" customFormat="1" ht="13.5" customHeight="1" x14ac:dyDescent="0.25">
      <c r="A119" s="59"/>
      <c r="B119" s="195"/>
      <c r="C119" s="180"/>
      <c r="D119" s="180"/>
      <c r="E119" s="180"/>
      <c r="F119" s="65" t="s">
        <v>95</v>
      </c>
      <c r="G119" s="66">
        <f>+E112*0.7</f>
        <v>0.57259999999999989</v>
      </c>
      <c r="H119" s="67"/>
      <c r="I119" s="68"/>
      <c r="J119" s="69">
        <v>0.59299999999999997</v>
      </c>
      <c r="K119" s="180"/>
      <c r="L119" s="180"/>
      <c r="M119" s="180"/>
      <c r="N119" s="180"/>
      <c r="O119" s="180"/>
      <c r="P119" s="184"/>
      <c r="Q119" s="64"/>
      <c r="R119" s="64"/>
      <c r="S119" s="64"/>
      <c r="T119" s="64"/>
      <c r="U119" s="64"/>
    </row>
    <row r="120" spans="1:21" s="19" customFormat="1" ht="13.5" customHeight="1" x14ac:dyDescent="0.25">
      <c r="A120" s="59"/>
      <c r="B120" s="195"/>
      <c r="C120" s="180"/>
      <c r="D120" s="180"/>
      <c r="E120" s="180"/>
      <c r="F120" s="65" t="s">
        <v>96</v>
      </c>
      <c r="G120" s="66">
        <f>+E112*0.8</f>
        <v>0.65439999999999998</v>
      </c>
      <c r="H120" s="67"/>
      <c r="I120" s="68"/>
      <c r="J120" s="69">
        <v>0.63800000000000001</v>
      </c>
      <c r="K120" s="180"/>
      <c r="L120" s="180"/>
      <c r="M120" s="180"/>
      <c r="N120" s="180"/>
      <c r="O120" s="180"/>
      <c r="P120" s="184"/>
      <c r="Q120" s="64"/>
      <c r="R120" s="64"/>
      <c r="S120" s="64"/>
      <c r="T120" s="64"/>
      <c r="U120" s="64"/>
    </row>
    <row r="121" spans="1:21" s="19" customFormat="1" ht="13.5" customHeight="1" x14ac:dyDescent="0.25">
      <c r="A121" s="59"/>
      <c r="B121" s="195"/>
      <c r="C121" s="180"/>
      <c r="D121" s="180"/>
      <c r="E121" s="180"/>
      <c r="F121" s="65" t="s">
        <v>97</v>
      </c>
      <c r="G121" s="66">
        <f>+E112*0.9</f>
        <v>0.73619999999999997</v>
      </c>
      <c r="H121" s="67"/>
      <c r="I121" s="68"/>
      <c r="J121" s="69">
        <v>0.67800000000000005</v>
      </c>
      <c r="K121" s="180"/>
      <c r="L121" s="180"/>
      <c r="M121" s="180"/>
      <c r="N121" s="180"/>
      <c r="O121" s="180"/>
      <c r="P121" s="184"/>
      <c r="Q121" s="64"/>
      <c r="R121" s="64"/>
      <c r="S121" s="64"/>
      <c r="T121" s="64"/>
      <c r="U121" s="64"/>
    </row>
    <row r="122" spans="1:21" s="19" customFormat="1" ht="15.75" thickBot="1" x14ac:dyDescent="0.3">
      <c r="A122" s="59"/>
      <c r="B122" s="196"/>
      <c r="C122" s="181"/>
      <c r="D122" s="181"/>
      <c r="E122" s="181"/>
      <c r="F122" s="70" t="s">
        <v>30</v>
      </c>
      <c r="G122" s="70">
        <f>+E112</f>
        <v>0.81799999999999995</v>
      </c>
      <c r="H122" s="71"/>
      <c r="I122" s="72"/>
      <c r="J122" s="73">
        <v>0.70199999999999996</v>
      </c>
      <c r="K122" s="181"/>
      <c r="L122" s="181"/>
      <c r="M122" s="181"/>
      <c r="N122" s="181"/>
      <c r="O122" s="181"/>
      <c r="P122" s="185"/>
      <c r="Q122" s="64"/>
      <c r="R122" s="64"/>
      <c r="S122" s="64"/>
      <c r="T122" s="64"/>
      <c r="U122" s="64"/>
    </row>
    <row r="123" spans="1:21" s="3" customFormat="1" ht="12.75" x14ac:dyDescent="0.2">
      <c r="A123" s="11"/>
      <c r="B123" s="167" t="s">
        <v>31</v>
      </c>
      <c r="C123" s="167"/>
      <c r="D123" s="167"/>
      <c r="E123" s="167"/>
      <c r="F123" s="167"/>
      <c r="G123" s="167"/>
      <c r="H123" s="167"/>
      <c r="I123" s="167"/>
      <c r="J123" s="167"/>
      <c r="K123" s="16">
        <f>ROUND(+M123/L123,3)</f>
        <v>0.37</v>
      </c>
      <c r="L123" s="15">
        <f>SUM(L18:L122)</f>
        <v>9.4939999999999998</v>
      </c>
      <c r="M123" s="14">
        <f>SUM(M19:M122)</f>
        <v>3.5123000000000006</v>
      </c>
      <c r="N123" s="12">
        <f>ROUND(SUM(N19:N122),0)</f>
        <v>100</v>
      </c>
      <c r="O123" s="169" t="s">
        <v>32</v>
      </c>
      <c r="P123" s="171"/>
    </row>
    <row r="124" spans="1:21" s="3" customFormat="1" ht="15" customHeight="1" thickBot="1" x14ac:dyDescent="0.25">
      <c r="A124" s="11"/>
      <c r="B124" s="168"/>
      <c r="C124" s="168"/>
      <c r="D124" s="168"/>
      <c r="E124" s="168"/>
      <c r="F124" s="168"/>
      <c r="G124" s="168"/>
      <c r="H124" s="168"/>
      <c r="I124" s="168"/>
      <c r="J124" s="168"/>
      <c r="K124" s="13" t="s">
        <v>33</v>
      </c>
      <c r="L124" s="13" t="s">
        <v>49</v>
      </c>
      <c r="M124" s="13" t="s">
        <v>103</v>
      </c>
      <c r="N124" s="13" t="s">
        <v>34</v>
      </c>
      <c r="O124" s="170"/>
      <c r="P124" s="172"/>
    </row>
    <row r="125" spans="1:21" ht="15" customHeight="1" thickBot="1" x14ac:dyDescent="0.3">
      <c r="A125" s="5"/>
      <c r="B125" s="173" t="s">
        <v>98</v>
      </c>
      <c r="C125" s="174"/>
      <c r="D125" s="174"/>
      <c r="E125" s="174"/>
      <c r="F125" s="175"/>
      <c r="G125" s="173" t="s">
        <v>99</v>
      </c>
      <c r="H125" s="174"/>
      <c r="I125" s="174"/>
      <c r="J125" s="174"/>
      <c r="K125" s="175"/>
      <c r="L125" s="176" t="s">
        <v>51</v>
      </c>
      <c r="M125" s="177"/>
      <c r="N125" s="177"/>
      <c r="O125" s="177"/>
      <c r="P125" s="178"/>
    </row>
    <row r="126" spans="1:21" ht="15" customHeight="1" x14ac:dyDescent="0.25">
      <c r="A126" s="5"/>
      <c r="B126" s="137"/>
      <c r="C126" s="138"/>
      <c r="D126" s="138"/>
      <c r="E126" s="138"/>
      <c r="F126" s="139"/>
      <c r="G126" s="137"/>
      <c r="H126" s="138"/>
      <c r="I126" s="138"/>
      <c r="J126" s="138"/>
      <c r="K126" s="139"/>
      <c r="L126" s="146" t="s">
        <v>100</v>
      </c>
      <c r="M126" s="147"/>
      <c r="N126" s="147"/>
      <c r="O126" s="148">
        <f>+AVERAGE(E18:E93)</f>
        <v>0.5474</v>
      </c>
      <c r="P126" s="149"/>
    </row>
    <row r="127" spans="1:21" ht="15" customHeight="1" thickBot="1" x14ac:dyDescent="0.3">
      <c r="A127" s="5"/>
      <c r="B127" s="140"/>
      <c r="C127" s="141"/>
      <c r="D127" s="141"/>
      <c r="E127" s="141"/>
      <c r="F127" s="142"/>
      <c r="G127" s="140"/>
      <c r="H127" s="141"/>
      <c r="I127" s="141"/>
      <c r="J127" s="141"/>
      <c r="K127" s="142"/>
      <c r="L127" s="150" t="s">
        <v>101</v>
      </c>
      <c r="M127" s="151"/>
      <c r="N127" s="151"/>
      <c r="O127" s="152">
        <f>+MAX(E18:E93)</f>
        <v>0.81799999999999995</v>
      </c>
      <c r="P127" s="153"/>
    </row>
    <row r="128" spans="1:21" ht="18.600000000000001" customHeight="1" x14ac:dyDescent="0.25">
      <c r="A128" s="6"/>
      <c r="B128" s="140"/>
      <c r="C128" s="141"/>
      <c r="D128" s="141"/>
      <c r="E128" s="141"/>
      <c r="F128" s="142"/>
      <c r="G128" s="140"/>
      <c r="H128" s="141"/>
      <c r="I128" s="141"/>
      <c r="J128" s="141"/>
      <c r="K128" s="142"/>
      <c r="L128" s="154"/>
      <c r="M128" s="155"/>
      <c r="N128" s="155"/>
      <c r="O128" s="155"/>
      <c r="P128" s="156"/>
    </row>
    <row r="129" spans="1:18" ht="61.5" customHeight="1" x14ac:dyDescent="0.25">
      <c r="A129" s="10"/>
      <c r="B129" s="140"/>
      <c r="C129" s="141"/>
      <c r="D129" s="141"/>
      <c r="E129" s="141"/>
      <c r="F129" s="142"/>
      <c r="G129" s="140"/>
      <c r="H129" s="141"/>
      <c r="I129" s="141"/>
      <c r="J129" s="141"/>
      <c r="K129" s="142"/>
      <c r="L129" s="157"/>
      <c r="M129" s="158"/>
      <c r="N129" s="158"/>
      <c r="O129" s="158"/>
      <c r="P129" s="159"/>
    </row>
    <row r="130" spans="1:18" ht="15" customHeight="1" thickBot="1" x14ac:dyDescent="0.3">
      <c r="A130" s="5"/>
      <c r="B130" s="140"/>
      <c r="C130" s="141"/>
      <c r="D130" s="141"/>
      <c r="E130" s="141"/>
      <c r="F130" s="142"/>
      <c r="G130" s="140"/>
      <c r="H130" s="141"/>
      <c r="I130" s="141"/>
      <c r="J130" s="141"/>
      <c r="K130" s="142"/>
      <c r="L130" s="160"/>
      <c r="M130" s="161"/>
      <c r="N130" s="161"/>
      <c r="O130" s="161"/>
      <c r="P130" s="162"/>
    </row>
    <row r="131" spans="1:18" ht="22.5" customHeight="1" thickBot="1" x14ac:dyDescent="0.3">
      <c r="A131" s="5"/>
      <c r="B131" s="140"/>
      <c r="C131" s="141"/>
      <c r="D131" s="141"/>
      <c r="E131" s="141"/>
      <c r="F131" s="142"/>
      <c r="G131" s="140"/>
      <c r="H131" s="141"/>
      <c r="I131" s="141"/>
      <c r="J131" s="141"/>
      <c r="K131" s="142"/>
      <c r="L131" s="163" t="s">
        <v>35</v>
      </c>
      <c r="M131" s="164"/>
      <c r="N131" s="164"/>
      <c r="O131" s="164"/>
      <c r="P131" s="83">
        <v>11.69</v>
      </c>
    </row>
    <row r="132" spans="1:18" ht="32.25" customHeight="1" thickBot="1" x14ac:dyDescent="0.3">
      <c r="A132" s="5"/>
      <c r="B132" s="143"/>
      <c r="C132" s="144"/>
      <c r="D132" s="144"/>
      <c r="E132" s="144"/>
      <c r="F132" s="145"/>
      <c r="G132" s="143"/>
      <c r="H132" s="144"/>
      <c r="I132" s="144"/>
      <c r="J132" s="144"/>
      <c r="K132" s="145"/>
      <c r="L132" s="165" t="s">
        <v>104</v>
      </c>
      <c r="M132" s="166"/>
      <c r="N132" s="166"/>
      <c r="O132" s="166"/>
      <c r="P132" s="83">
        <v>0.47399999999999998</v>
      </c>
      <c r="R132" s="99"/>
    </row>
    <row r="133" spans="1:18" ht="23.45" customHeight="1" thickBot="1" x14ac:dyDescent="0.3">
      <c r="A133" s="7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</row>
    <row r="134" spans="1:18" ht="15.75" thickBot="1" x14ac:dyDescent="0.3">
      <c r="A134" s="126" t="s">
        <v>36</v>
      </c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8"/>
    </row>
    <row r="135" spans="1:18" ht="159" customHeight="1" thickBot="1" x14ac:dyDescent="0.3">
      <c r="A135" s="4"/>
      <c r="B135" s="129"/>
      <c r="C135" s="130"/>
      <c r="D135" s="130"/>
      <c r="E135" s="130"/>
      <c r="F135" s="131"/>
      <c r="G135" s="129"/>
      <c r="H135" s="130"/>
      <c r="I135" s="130"/>
      <c r="J135" s="130"/>
      <c r="K135" s="131"/>
      <c r="L135" s="129"/>
      <c r="M135" s="130"/>
      <c r="N135" s="130"/>
      <c r="O135" s="130"/>
      <c r="P135" s="132"/>
    </row>
    <row r="136" spans="1:18" s="9" customFormat="1" ht="35.25" customHeight="1" thickBot="1" x14ac:dyDescent="0.3">
      <c r="A136" s="108"/>
      <c r="B136" s="310" t="s">
        <v>115</v>
      </c>
      <c r="C136" s="311"/>
      <c r="D136" s="311"/>
      <c r="E136" s="311"/>
      <c r="F136" s="312"/>
      <c r="G136" s="310" t="s">
        <v>106</v>
      </c>
      <c r="H136" s="311"/>
      <c r="I136" s="311"/>
      <c r="J136" s="311"/>
      <c r="K136" s="312"/>
      <c r="L136" s="313" t="s">
        <v>116</v>
      </c>
      <c r="M136" s="314"/>
      <c r="N136" s="314"/>
      <c r="O136" s="314"/>
      <c r="P136" s="315"/>
    </row>
    <row r="137" spans="1:18" s="9" customFormat="1" ht="16.899999999999999" customHeight="1" thickBot="1" x14ac:dyDescent="0.3">
      <c r="A137" s="8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1"/>
    </row>
    <row r="138" spans="1:18" s="3" customFormat="1" ht="15.75" customHeight="1" thickBot="1" x14ac:dyDescent="0.25">
      <c r="A138" s="122" t="s">
        <v>37</v>
      </c>
      <c r="B138" s="123"/>
      <c r="C138" s="123"/>
      <c r="D138" s="123"/>
      <c r="E138" s="123"/>
      <c r="F138" s="123"/>
      <c r="G138" s="123"/>
      <c r="H138" s="123"/>
      <c r="I138" s="123"/>
      <c r="J138" s="123" t="s">
        <v>38</v>
      </c>
      <c r="K138" s="123"/>
      <c r="L138" s="123"/>
      <c r="M138" s="123"/>
      <c r="N138" s="123"/>
      <c r="O138" s="123"/>
      <c r="P138" s="124"/>
    </row>
  </sheetData>
  <mergeCells count="27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9:M103"/>
    <mergeCell ref="N99:N103"/>
    <mergeCell ref="O99:O103"/>
    <mergeCell ref="P99:P103"/>
    <mergeCell ref="B104:B109"/>
    <mergeCell ref="C104:P109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C110:H110"/>
    <mergeCell ref="I110:I111"/>
    <mergeCell ref="K110:P110"/>
    <mergeCell ref="C111:H111"/>
    <mergeCell ref="K111:P111"/>
    <mergeCell ref="B112:B122"/>
    <mergeCell ref="C112:C116"/>
    <mergeCell ref="D112:D116"/>
    <mergeCell ref="E112:E122"/>
    <mergeCell ref="K112:K122"/>
    <mergeCell ref="B123:J124"/>
    <mergeCell ref="O123:O124"/>
    <mergeCell ref="P123:P124"/>
    <mergeCell ref="B125:F125"/>
    <mergeCell ref="G125:K125"/>
    <mergeCell ref="L125:P125"/>
    <mergeCell ref="L112:L122"/>
    <mergeCell ref="M112:M122"/>
    <mergeCell ref="N112:N122"/>
    <mergeCell ref="O112:O122"/>
    <mergeCell ref="P112:P122"/>
    <mergeCell ref="C117:C122"/>
    <mergeCell ref="D117:D122"/>
    <mergeCell ref="B126:F132"/>
    <mergeCell ref="G126:K132"/>
    <mergeCell ref="L126:N126"/>
    <mergeCell ref="O126:P126"/>
    <mergeCell ref="L127:N127"/>
    <mergeCell ref="O127:P127"/>
    <mergeCell ref="L128:P130"/>
    <mergeCell ref="L131:O131"/>
    <mergeCell ref="L132:O132"/>
    <mergeCell ref="B137:P137"/>
    <mergeCell ref="A138:C138"/>
    <mergeCell ref="D138:I138"/>
    <mergeCell ref="J138:K138"/>
    <mergeCell ref="L138:P138"/>
    <mergeCell ref="B133:P133"/>
    <mergeCell ref="A134:P134"/>
    <mergeCell ref="B135:F135"/>
    <mergeCell ref="G135:K135"/>
    <mergeCell ref="L135:P135"/>
    <mergeCell ref="B136:F136"/>
    <mergeCell ref="G136:K136"/>
    <mergeCell ref="L136:P13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2019-05-17T15:02:07Z</dcterms:modified>
</cp:coreProperties>
</file>