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34" r:id="rId2"/>
    <sheet name="Aforo 2" sheetId="135" r:id="rId3"/>
    <sheet name="Aforo 3" sheetId="136" r:id="rId4"/>
    <sheet name="Aforo 4" sheetId="137" r:id="rId5"/>
  </sheets>
  <definedNames>
    <definedName name="_xlnm.Print_Area" localSheetId="1">'Aforo 1'!$B$1:$P$118</definedName>
    <definedName name="_xlnm.Print_Area" localSheetId="2">'Aforo 2'!$B$1:$P$108</definedName>
    <definedName name="_xlnm.Print_Area" localSheetId="3">'Aforo 3'!$B$1:$P$128</definedName>
    <definedName name="_xlnm.Print_Area" localSheetId="4">'Aforo 4'!$B$1:$P$148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7" i="137" l="1"/>
  <c r="O136" i="137"/>
  <c r="G131" i="137"/>
  <c r="G130" i="137"/>
  <c r="G129" i="137"/>
  <c r="G127" i="137"/>
  <c r="D127" i="137"/>
  <c r="G125" i="137"/>
  <c r="G124" i="137"/>
  <c r="G123" i="137"/>
  <c r="K122" i="137"/>
  <c r="E122" i="137"/>
  <c r="G132" i="137" s="1"/>
  <c r="D122" i="137"/>
  <c r="G113" i="137"/>
  <c r="G112" i="137"/>
  <c r="G111" i="137"/>
  <c r="G110" i="137"/>
  <c r="K109" i="137"/>
  <c r="G108" i="137"/>
  <c r="G107" i="137"/>
  <c r="G106" i="137"/>
  <c r="G105" i="137"/>
  <c r="K104" i="137"/>
  <c r="G103" i="137"/>
  <c r="G102" i="137"/>
  <c r="G101" i="137"/>
  <c r="G100" i="137"/>
  <c r="K99" i="137"/>
  <c r="G98" i="137"/>
  <c r="G97" i="137"/>
  <c r="G96" i="137"/>
  <c r="G95" i="137"/>
  <c r="K94" i="137"/>
  <c r="G93" i="137"/>
  <c r="G92" i="137"/>
  <c r="G91" i="137"/>
  <c r="G90" i="137"/>
  <c r="K89" i="137"/>
  <c r="G88" i="137"/>
  <c r="G87" i="137"/>
  <c r="G86" i="137"/>
  <c r="G85" i="137"/>
  <c r="K84" i="137"/>
  <c r="G83" i="137"/>
  <c r="G82" i="137"/>
  <c r="G81" i="137"/>
  <c r="G80" i="137"/>
  <c r="K79" i="137"/>
  <c r="G78" i="137"/>
  <c r="G77" i="137"/>
  <c r="G76" i="137"/>
  <c r="G75" i="137"/>
  <c r="G73" i="137"/>
  <c r="G72" i="137"/>
  <c r="G71" i="137"/>
  <c r="G70" i="137"/>
  <c r="K69" i="137"/>
  <c r="G68" i="137"/>
  <c r="G67" i="137"/>
  <c r="G66" i="137"/>
  <c r="G65" i="137"/>
  <c r="K64" i="137"/>
  <c r="G63" i="137"/>
  <c r="G62" i="137"/>
  <c r="G61" i="137"/>
  <c r="G60" i="137"/>
  <c r="K59" i="137"/>
  <c r="G58" i="137"/>
  <c r="G57" i="137"/>
  <c r="G56" i="137"/>
  <c r="G55" i="137"/>
  <c r="K54" i="137"/>
  <c r="G53" i="137"/>
  <c r="G52" i="137"/>
  <c r="G51" i="137"/>
  <c r="G50" i="137"/>
  <c r="K49" i="137"/>
  <c r="G48" i="137"/>
  <c r="G47" i="137"/>
  <c r="G46" i="137"/>
  <c r="G45" i="137"/>
  <c r="K44" i="137"/>
  <c r="G43" i="137"/>
  <c r="G42" i="137"/>
  <c r="G41" i="137"/>
  <c r="G40" i="137"/>
  <c r="K39" i="137"/>
  <c r="G38" i="137"/>
  <c r="G37" i="137"/>
  <c r="G36" i="137"/>
  <c r="G35" i="137"/>
  <c r="K34" i="137"/>
  <c r="G33" i="137"/>
  <c r="G32" i="137"/>
  <c r="G31" i="137"/>
  <c r="G30" i="137"/>
  <c r="K29" i="137"/>
  <c r="B29" i="137"/>
  <c r="B34" i="137" s="1"/>
  <c r="B39" i="137" s="1"/>
  <c r="B44" i="137" s="1"/>
  <c r="B49" i="137" s="1"/>
  <c r="B54" i="137" s="1"/>
  <c r="B59" i="137" s="1"/>
  <c r="B64" i="137" s="1"/>
  <c r="B69" i="137" s="1"/>
  <c r="B74" i="137" s="1"/>
  <c r="G28" i="137"/>
  <c r="G27" i="137"/>
  <c r="G26" i="137"/>
  <c r="G25" i="137"/>
  <c r="K24" i="137"/>
  <c r="B24" i="137"/>
  <c r="G23" i="137"/>
  <c r="G22" i="137"/>
  <c r="G21" i="137"/>
  <c r="G20" i="137"/>
  <c r="K19" i="137"/>
  <c r="C18" i="137"/>
  <c r="C19" i="137" s="1"/>
  <c r="C24" i="137" l="1"/>
  <c r="L19" i="137"/>
  <c r="B122" i="137"/>
  <c r="B79" i="137"/>
  <c r="B84" i="137" s="1"/>
  <c r="B89" i="137" s="1"/>
  <c r="B94" i="137" s="1"/>
  <c r="B99" i="137" s="1"/>
  <c r="B104" i="137" s="1"/>
  <c r="B109" i="137" s="1"/>
  <c r="G126" i="137"/>
  <c r="G128" i="137"/>
  <c r="M19" i="137" l="1"/>
  <c r="C29" i="137"/>
  <c r="L24" i="137"/>
  <c r="M24" i="137" s="1"/>
  <c r="C34" i="137" l="1"/>
  <c r="L29" i="137"/>
  <c r="M29" i="137" s="1"/>
  <c r="C39" i="137" l="1"/>
  <c r="L34" i="137"/>
  <c r="M34" i="137" l="1"/>
  <c r="C44" i="137"/>
  <c r="L39" i="137"/>
  <c r="M39" i="137" s="1"/>
  <c r="C49" i="137" l="1"/>
  <c r="L44" i="137"/>
  <c r="M44" i="137" s="1"/>
  <c r="C54" i="137" l="1"/>
  <c r="L49" i="137"/>
  <c r="M49" i="137" s="1"/>
  <c r="C59" i="137" l="1"/>
  <c r="L54" i="137"/>
  <c r="M54" i="137" s="1"/>
  <c r="C64" i="137" l="1"/>
  <c r="L59" i="137"/>
  <c r="M59" i="137" s="1"/>
  <c r="C69" i="137" l="1"/>
  <c r="L64" i="137"/>
  <c r="M64" i="137" s="1"/>
  <c r="C122" i="137" l="1"/>
  <c r="C74" i="137"/>
  <c r="L69" i="137"/>
  <c r="M69" i="137" s="1"/>
  <c r="C127" i="137" l="1"/>
  <c r="L122" i="137" s="1"/>
  <c r="C79" i="137"/>
  <c r="C84" i="137" l="1"/>
  <c r="L79" i="137"/>
  <c r="M79" i="137" s="1"/>
  <c r="M122" i="137"/>
  <c r="C89" i="137" l="1"/>
  <c r="L84" i="137"/>
  <c r="C94" i="137" l="1"/>
  <c r="L89" i="137"/>
  <c r="M89" i="137" s="1"/>
  <c r="M84" i="137"/>
  <c r="C99" i="137" l="1"/>
  <c r="L94" i="137"/>
  <c r="C104" i="137" l="1"/>
  <c r="L99" i="137"/>
  <c r="M99" i="137" s="1"/>
  <c r="M94" i="137"/>
  <c r="C109" i="137" l="1"/>
  <c r="L109" i="137" s="1"/>
  <c r="M109" i="137" s="1"/>
  <c r="L104" i="137"/>
  <c r="M104" i="137" l="1"/>
  <c r="L133" i="137"/>
  <c r="M133" i="137" l="1"/>
  <c r="K133" i="137" l="1"/>
  <c r="N24" i="137"/>
  <c r="N19" i="137"/>
  <c r="N29" i="137"/>
  <c r="N39" i="137"/>
  <c r="N34" i="137"/>
  <c r="N44" i="137"/>
  <c r="N49" i="137"/>
  <c r="N54" i="137"/>
  <c r="N59" i="137"/>
  <c r="N64" i="137"/>
  <c r="N69" i="137"/>
  <c r="N79" i="137"/>
  <c r="N122" i="137"/>
  <c r="N89" i="137"/>
  <c r="N84" i="137"/>
  <c r="N99" i="137"/>
  <c r="N94" i="137"/>
  <c r="N109" i="137"/>
  <c r="N104" i="137"/>
  <c r="N133" i="137" l="1"/>
  <c r="O117" i="136" l="1"/>
  <c r="O116" i="136"/>
  <c r="G111" i="136"/>
  <c r="G107" i="136"/>
  <c r="D107" i="136"/>
  <c r="G105" i="136"/>
  <c r="K102" i="136"/>
  <c r="E102" i="136"/>
  <c r="G110" i="136" s="1"/>
  <c r="D102" i="136"/>
  <c r="G93" i="136"/>
  <c r="G92" i="136"/>
  <c r="G91" i="136"/>
  <c r="G90" i="136"/>
  <c r="K89" i="136"/>
  <c r="G88" i="136"/>
  <c r="G87" i="136"/>
  <c r="G86" i="136"/>
  <c r="G85" i="136"/>
  <c r="K84" i="136"/>
  <c r="G83" i="136"/>
  <c r="G82" i="136"/>
  <c r="G81" i="136"/>
  <c r="G80" i="136"/>
  <c r="K79" i="136"/>
  <c r="G78" i="136"/>
  <c r="G77" i="136"/>
  <c r="G76" i="136"/>
  <c r="G75" i="136"/>
  <c r="K74" i="136"/>
  <c r="G73" i="136"/>
  <c r="G72" i="136"/>
  <c r="G71" i="136"/>
  <c r="G70" i="136"/>
  <c r="K69" i="136"/>
  <c r="G68" i="136"/>
  <c r="G67" i="136"/>
  <c r="G66" i="136"/>
  <c r="G65" i="136"/>
  <c r="G63" i="136"/>
  <c r="G62" i="136"/>
  <c r="G61" i="136"/>
  <c r="G60" i="136"/>
  <c r="K59" i="136"/>
  <c r="G58" i="136"/>
  <c r="G57" i="136"/>
  <c r="G56" i="136"/>
  <c r="G55" i="136"/>
  <c r="K54" i="136"/>
  <c r="G53" i="136"/>
  <c r="G52" i="136"/>
  <c r="G51" i="136"/>
  <c r="G50" i="136"/>
  <c r="K49" i="136"/>
  <c r="G48" i="136"/>
  <c r="G47" i="136"/>
  <c r="G46" i="136"/>
  <c r="G45" i="136"/>
  <c r="K44" i="136"/>
  <c r="G43" i="136"/>
  <c r="G42" i="136"/>
  <c r="G41" i="136"/>
  <c r="G40" i="136"/>
  <c r="K39" i="136"/>
  <c r="G38" i="136"/>
  <c r="G37" i="136"/>
  <c r="G36" i="136"/>
  <c r="G35" i="136"/>
  <c r="K34" i="136"/>
  <c r="G33" i="136"/>
  <c r="G32" i="136"/>
  <c r="G31" i="136"/>
  <c r="G30" i="136"/>
  <c r="K29" i="136"/>
  <c r="G28" i="136"/>
  <c r="G27" i="136"/>
  <c r="G26" i="136"/>
  <c r="G25" i="136"/>
  <c r="K24" i="136"/>
  <c r="G23" i="136"/>
  <c r="G22" i="136"/>
  <c r="G21" i="136"/>
  <c r="G20" i="136"/>
  <c r="K19" i="136"/>
  <c r="C19" i="136"/>
  <c r="L19" i="136" s="1"/>
  <c r="C18" i="136"/>
  <c r="M19" i="136" l="1"/>
  <c r="C24" i="136"/>
  <c r="G106" i="136"/>
  <c r="G112" i="136"/>
  <c r="G103" i="136"/>
  <c r="G109" i="136"/>
  <c r="G108" i="136"/>
  <c r="G104" i="136"/>
  <c r="L24" i="136" l="1"/>
  <c r="C29" i="136"/>
  <c r="C34" i="136" l="1"/>
  <c r="L29" i="136"/>
  <c r="M29" i="136" s="1"/>
  <c r="M24" i="136"/>
  <c r="L34" i="136" l="1"/>
  <c r="C39" i="136"/>
  <c r="M34" i="136" l="1"/>
  <c r="C44" i="136"/>
  <c r="L39" i="136"/>
  <c r="M39" i="136" s="1"/>
  <c r="L44" i="136" l="1"/>
  <c r="M44" i="136" s="1"/>
  <c r="C49" i="136"/>
  <c r="C54" i="136" l="1"/>
  <c r="L49" i="136"/>
  <c r="M49" i="136" s="1"/>
  <c r="C59" i="136" l="1"/>
  <c r="L54" i="136"/>
  <c r="M54" i="136" s="1"/>
  <c r="C102" i="136" l="1"/>
  <c r="C64" i="136"/>
  <c r="L59" i="136"/>
  <c r="M59" i="136" s="1"/>
  <c r="C107" i="136" l="1"/>
  <c r="L102" i="136" s="1"/>
  <c r="C69" i="136"/>
  <c r="C74" i="136" l="1"/>
  <c r="L69" i="136"/>
  <c r="M69" i="136" s="1"/>
  <c r="M102" i="136"/>
  <c r="C79" i="136" l="1"/>
  <c r="L74" i="136"/>
  <c r="C84" i="136" l="1"/>
  <c r="L79" i="136"/>
  <c r="M79" i="136" s="1"/>
  <c r="M74" i="136"/>
  <c r="L84" i="136" l="1"/>
  <c r="C89" i="136"/>
  <c r="L89" i="136" s="1"/>
  <c r="M89" i="136" s="1"/>
  <c r="M84" i="136" l="1"/>
  <c r="L113" i="136"/>
  <c r="M113" i="136" l="1"/>
  <c r="K113" i="136" l="1"/>
  <c r="N19" i="136"/>
  <c r="N29" i="136"/>
  <c r="N24" i="136"/>
  <c r="N39" i="136"/>
  <c r="N34" i="136"/>
  <c r="N44" i="136"/>
  <c r="N49" i="136"/>
  <c r="N54" i="136"/>
  <c r="N59" i="136"/>
  <c r="N102" i="136"/>
  <c r="N69" i="136"/>
  <c r="N74" i="136"/>
  <c r="N79" i="136"/>
  <c r="N89" i="136"/>
  <c r="N84" i="136"/>
  <c r="N113" i="136" l="1"/>
  <c r="O97" i="135" l="1"/>
  <c r="O96" i="135"/>
  <c r="G92" i="135"/>
  <c r="G91" i="135"/>
  <c r="G90" i="135"/>
  <c r="G89" i="135"/>
  <c r="G88" i="135"/>
  <c r="G87" i="135"/>
  <c r="G86" i="135"/>
  <c r="G85" i="135"/>
  <c r="G84" i="135"/>
  <c r="G83" i="135"/>
  <c r="K82" i="135"/>
  <c r="G73" i="135"/>
  <c r="G72" i="135"/>
  <c r="G71" i="135"/>
  <c r="G70" i="135"/>
  <c r="K69" i="135"/>
  <c r="G68" i="135"/>
  <c r="G67" i="135"/>
  <c r="G66" i="135"/>
  <c r="G65" i="135"/>
  <c r="K64" i="135"/>
  <c r="G63" i="135"/>
  <c r="G62" i="135"/>
  <c r="G61" i="135"/>
  <c r="G60" i="135"/>
  <c r="K59" i="135"/>
  <c r="G58" i="135"/>
  <c r="G57" i="135"/>
  <c r="G56" i="135"/>
  <c r="G55" i="135"/>
  <c r="K54" i="135"/>
  <c r="G53" i="135"/>
  <c r="G52" i="135"/>
  <c r="G51" i="135"/>
  <c r="G50" i="135"/>
  <c r="K49" i="135"/>
  <c r="G48" i="135"/>
  <c r="G47" i="135"/>
  <c r="G46" i="135"/>
  <c r="G45" i="135"/>
  <c r="G43" i="135"/>
  <c r="G42" i="135"/>
  <c r="G41" i="135"/>
  <c r="G40" i="135"/>
  <c r="K39" i="135"/>
  <c r="G38" i="135"/>
  <c r="G37" i="135"/>
  <c r="G36" i="135"/>
  <c r="G35" i="135"/>
  <c r="K34" i="135"/>
  <c r="G33" i="135"/>
  <c r="G32" i="135"/>
  <c r="G31" i="135"/>
  <c r="G30" i="135"/>
  <c r="K29" i="135"/>
  <c r="G28" i="135"/>
  <c r="G27" i="135"/>
  <c r="G26" i="135"/>
  <c r="G25" i="135"/>
  <c r="K24" i="135"/>
  <c r="G23" i="135"/>
  <c r="G22" i="135"/>
  <c r="G21" i="135"/>
  <c r="G20" i="135"/>
  <c r="K19" i="135"/>
  <c r="C18" i="135"/>
  <c r="C19" i="135" s="1"/>
  <c r="C24" i="135" l="1"/>
  <c r="L19" i="135"/>
  <c r="M19" i="135" s="1"/>
  <c r="L24" i="135" l="1"/>
  <c r="M24" i="135" s="1"/>
  <c r="C29" i="135"/>
  <c r="L29" i="135" l="1"/>
  <c r="M29" i="135" s="1"/>
  <c r="C34" i="135"/>
  <c r="C39" i="135" l="1"/>
  <c r="L34" i="135"/>
  <c r="M34" i="135" s="1"/>
  <c r="L39" i="135" l="1"/>
  <c r="M39" i="135" s="1"/>
  <c r="C44" i="135"/>
  <c r="C87" i="135" l="1"/>
  <c r="C82" i="135"/>
  <c r="C49" i="135"/>
  <c r="L49" i="135" l="1"/>
  <c r="M49" i="135" s="1"/>
  <c r="C54" i="135"/>
  <c r="L82" i="135"/>
  <c r="M82" i="135" l="1"/>
  <c r="C59" i="135"/>
  <c r="L54" i="135"/>
  <c r="M54" i="135" s="1"/>
  <c r="C64" i="135" l="1"/>
  <c r="L59" i="135"/>
  <c r="M59" i="135" s="1"/>
  <c r="L64" i="135" l="1"/>
  <c r="M64" i="135" s="1"/>
  <c r="C69" i="135"/>
  <c r="L69" i="135" s="1"/>
  <c r="M69" i="135" s="1"/>
  <c r="M93" i="135" l="1"/>
  <c r="L93" i="135"/>
  <c r="N69" i="135"/>
  <c r="K93" i="135" l="1"/>
  <c r="N19" i="135"/>
  <c r="N24" i="135"/>
  <c r="N29" i="135"/>
  <c r="N34" i="135"/>
  <c r="N39" i="135"/>
  <c r="N49" i="135"/>
  <c r="N82" i="135"/>
  <c r="N54" i="135"/>
  <c r="N59" i="135"/>
  <c r="N64" i="135"/>
  <c r="N93" i="135" l="1"/>
  <c r="O107" i="134" l="1"/>
  <c r="O106" i="134"/>
  <c r="G101" i="134"/>
  <c r="G97" i="134"/>
  <c r="D97" i="134"/>
  <c r="G95" i="134"/>
  <c r="K92" i="134"/>
  <c r="E92" i="134"/>
  <c r="G100" i="134" s="1"/>
  <c r="D92" i="134"/>
  <c r="G83" i="134"/>
  <c r="G82" i="134"/>
  <c r="G81" i="134"/>
  <c r="G80" i="134"/>
  <c r="K79" i="134"/>
  <c r="G78" i="134"/>
  <c r="G77" i="134"/>
  <c r="G76" i="134"/>
  <c r="G75" i="134"/>
  <c r="K74" i="134"/>
  <c r="G73" i="134"/>
  <c r="G72" i="134"/>
  <c r="G71" i="134"/>
  <c r="G70" i="134"/>
  <c r="K69" i="134"/>
  <c r="G68" i="134"/>
  <c r="G67" i="134"/>
  <c r="G66" i="134"/>
  <c r="G65" i="134"/>
  <c r="K64" i="134"/>
  <c r="G63" i="134"/>
  <c r="G62" i="134"/>
  <c r="G61" i="134"/>
  <c r="G60" i="134"/>
  <c r="K59" i="134"/>
  <c r="G58" i="134"/>
  <c r="G57" i="134"/>
  <c r="G56" i="134"/>
  <c r="G55" i="134"/>
  <c r="K54" i="134"/>
  <c r="G53" i="134"/>
  <c r="G52" i="134"/>
  <c r="G51" i="134"/>
  <c r="G50" i="134"/>
  <c r="K49" i="134"/>
  <c r="G48" i="134"/>
  <c r="G47" i="134"/>
  <c r="G46" i="134"/>
  <c r="G45" i="134"/>
  <c r="G43" i="134"/>
  <c r="G42" i="134"/>
  <c r="G41" i="134"/>
  <c r="G40" i="134"/>
  <c r="K39" i="134"/>
  <c r="G38" i="134"/>
  <c r="G37" i="134"/>
  <c r="G36" i="134"/>
  <c r="G35" i="134"/>
  <c r="K34" i="134"/>
  <c r="G33" i="134"/>
  <c r="G32" i="134"/>
  <c r="G31" i="134"/>
  <c r="G30" i="134"/>
  <c r="K29" i="134"/>
  <c r="G28" i="134"/>
  <c r="G27" i="134"/>
  <c r="G26" i="134"/>
  <c r="G25" i="134"/>
  <c r="K24" i="134"/>
  <c r="M24" i="134" s="1"/>
  <c r="C24" i="134"/>
  <c r="L24" i="134" s="1"/>
  <c r="G23" i="134"/>
  <c r="G22" i="134"/>
  <c r="G21" i="134"/>
  <c r="G20" i="134"/>
  <c r="K19" i="134"/>
  <c r="C19" i="134"/>
  <c r="L19" i="134" s="1"/>
  <c r="C18" i="134"/>
  <c r="M19" i="134" l="1"/>
  <c r="C29" i="134"/>
  <c r="G96" i="134"/>
  <c r="G98" i="134"/>
  <c r="G102" i="134"/>
  <c r="G93" i="134"/>
  <c r="G99" i="134"/>
  <c r="G94" i="134"/>
  <c r="L29" i="134" l="1"/>
  <c r="C34" i="134"/>
  <c r="C39" i="134" l="1"/>
  <c r="L34" i="134"/>
  <c r="M34" i="134" s="1"/>
  <c r="M29" i="134"/>
  <c r="C92" i="134" l="1"/>
  <c r="C44" i="134"/>
  <c r="L39" i="134"/>
  <c r="M39" i="134" l="1"/>
  <c r="C97" i="134"/>
  <c r="L92" i="134" s="1"/>
  <c r="M92" i="134" s="1"/>
  <c r="C49" i="134"/>
  <c r="L49" i="134" l="1"/>
  <c r="C54" i="134"/>
  <c r="C59" i="134" l="1"/>
  <c r="L54" i="134"/>
  <c r="M54" i="134" s="1"/>
  <c r="M49" i="134"/>
  <c r="C64" i="134" l="1"/>
  <c r="L59" i="134"/>
  <c r="M59" i="134" s="1"/>
  <c r="L64" i="134" l="1"/>
  <c r="M64" i="134" s="1"/>
  <c r="C69" i="134"/>
  <c r="L69" i="134" l="1"/>
  <c r="M69" i="134" s="1"/>
  <c r="C74" i="134"/>
  <c r="L79" i="134" l="1"/>
  <c r="L74" i="134"/>
  <c r="M74" i="134" s="1"/>
  <c r="M79" i="134" l="1"/>
  <c r="L103" i="134"/>
  <c r="M103" i="134" l="1"/>
  <c r="K103" i="134" l="1"/>
  <c r="N24" i="134"/>
  <c r="N19" i="134"/>
  <c r="N29" i="134"/>
  <c r="N34" i="134"/>
  <c r="N92" i="134"/>
  <c r="N39" i="134"/>
  <c r="N49" i="134"/>
  <c r="N54" i="134"/>
  <c r="N59" i="134"/>
  <c r="N64" i="134"/>
  <c r="N69" i="134"/>
  <c r="N74" i="134"/>
  <c r="N79" i="134"/>
  <c r="N103" i="134" l="1"/>
</calcChain>
</file>

<file path=xl/sharedStrings.xml><?xml version="1.0" encoding="utf-8"?>
<sst xmlns="http://schemas.openxmlformats.org/spreadsheetml/2006/main" count="738" uniqueCount="129">
  <si>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</si>
  <si>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</si>
  <si>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</si>
  <si>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</si>
  <si>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</si>
  <si>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</si>
  <si>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</si>
  <si>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</si>
  <si>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</si>
  <si>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</si>
  <si>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</si>
  <si>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</si>
  <si>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</si>
  <si>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</si>
  <si>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</si>
  <si>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</si>
  <si>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</si>
  <si>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</si>
  <si>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</si>
  <si>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</si>
  <si>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</si>
  <si>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</si>
  <si>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</si>
  <si>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</si>
  <si>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</si>
  <si>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</si>
  <si>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</si>
  <si>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</si>
  <si>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</si>
  <si>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</si>
  <si>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</si>
  <si>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</si>
  <si>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</si>
  <si>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</si>
  <si>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</si>
  <si>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</si>
  <si>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</si>
  <si>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</si>
  <si>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</si>
  <si>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</si>
  <si>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</si>
  <si>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</si>
  <si>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</si>
  <si>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</si>
  <si>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</si>
  <si>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</si>
  <si>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</si>
  <si>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</si>
  <si>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</si>
  <si>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</si>
  <si>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</si>
  <si>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</si>
  <si>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</si>
  <si>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</si>
  <si>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</si>
  <si>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</si>
  <si>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</si>
  <si>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</si>
  <si>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</si>
  <si>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</si>
  <si>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</si>
  <si>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</si>
  <si>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</si>
  <si>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</si>
  <si>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</si>
  <si>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</si>
  <si>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</si>
  <si>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</si>
  <si>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</si>
  <si>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</si>
  <si>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</si>
  <si>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</si>
  <si>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</si>
  <si>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</si>
  <si>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</si>
  <si>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</si>
  <si>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</si>
  <si>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</si>
  <si>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</si>
  <si>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</si>
  <si>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</si>
  <si>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</si>
  <si>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</si>
  <si>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</si>
  <si>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</si>
  <si>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</si>
  <si>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</si>
  <si>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</si>
  <si>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</si>
  <si>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</si>
  <si>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</si>
  <si>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</si>
  <si>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</si>
  <si>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</si>
  <si>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</si>
  <si>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</si>
  <si>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</si>
  <si>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</si>
  <si>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</si>
  <si>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</si>
  <si>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</si>
  <si>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</si>
  <si>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</si>
  <si>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Se tomaron muestras de sedimentos en las dovelas #  _____ , _____ , ______ , ______ , _______ </t>
  </si>
  <si>
    <t>x</t>
  </si>
  <si>
    <t>RIO SANTODOMINGO - VEREDA LLANADAS</t>
  </si>
  <si>
    <t xml:space="preserve">  N 5° 12'36.78"</t>
  </si>
  <si>
    <t xml:space="preserve"> W 75°08'28.38"</t>
  </si>
  <si>
    <t>Cálido</t>
  </si>
  <si>
    <t>El sensor de nivel no tiene datos durante el dia del aforo</t>
  </si>
  <si>
    <t>SIN DATO</t>
  </si>
  <si>
    <t>Detalle general del aforo</t>
  </si>
  <si>
    <t>Medida altura del sensor</t>
  </si>
  <si>
    <t>Toma de temperatura</t>
  </si>
  <si>
    <t>MATEO ALZATE JARAMILLO</t>
  </si>
  <si>
    <t>Rio Santo domingo</t>
  </si>
  <si>
    <t>N 5° 12' 36.78"</t>
  </si>
  <si>
    <t>W 75° 8' 28.38"</t>
  </si>
  <si>
    <t>frio con lloviznas</t>
  </si>
  <si>
    <t>El sensor no registra nivel durante el dia del aforo. Aledaña al sitio de aforo hay explotación de material de río</t>
  </si>
  <si>
    <t xml:space="preserve">Medida nivel </t>
  </si>
  <si>
    <t>Detalle general de aforo</t>
  </si>
  <si>
    <t>frio</t>
  </si>
  <si>
    <t>RIO SANTO DOMINGO</t>
  </si>
  <si>
    <t>Calido</t>
  </si>
  <si>
    <t>C</t>
  </si>
  <si>
    <t>T OMA DE LA TEMPERATURA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</si>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</sst>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5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Font="1" applyBorder="1"/>
    <xf numFmtId="0" fontId="2" fillId="0" borderId="36" xfId="0" applyFont="1" applyBorder="1"/>
    <xf numFmtId="0" fontId="2" fillId="0" borderId="0" xfId="0" applyFont="1"/>
    <xf numFmtId="0" fontId="2" fillId="0" borderId="0" xfId="0" applyFont="1" applyAlignment="1"/>
    <xf numFmtId="0" fontId="17" fillId="6" borderId="75" xfId="0" applyFont="1" applyFill="1" applyBorder="1" applyAlignment="1">
      <alignment horizontal="center" vertical="center"/>
    </xf>
    <xf numFmtId="0" fontId="17" fillId="6" borderId="92" xfId="0" applyFont="1" applyFill="1" applyBorder="1" applyAlignment="1">
      <alignment vertical="center"/>
    </xf>
    <xf numFmtId="0" fontId="17" fillId="6" borderId="92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2" fillId="0" borderId="86" xfId="0" applyFont="1" applyBorder="1"/>
    <xf numFmtId="0" fontId="17" fillId="6" borderId="86" xfId="0" applyFont="1" applyFill="1" applyBorder="1" applyAlignment="1">
      <alignment vertical="center"/>
    </xf>
    <xf numFmtId="0" fontId="17" fillId="6" borderId="95" xfId="0" applyFont="1" applyFill="1" applyBorder="1" applyAlignment="1">
      <alignment horizontal="center" vertical="center"/>
    </xf>
    <xf numFmtId="0" fontId="17" fillId="6" borderId="82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4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17" fillId="0" borderId="90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/>
    </xf>
    <xf numFmtId="2" fontId="14" fillId="0" borderId="90" xfId="0" applyNumberFormat="1" applyFont="1" applyFill="1" applyBorder="1" applyAlignment="1">
      <alignment vertical="center"/>
    </xf>
    <xf numFmtId="164" fontId="14" fillId="0" borderId="90" xfId="0" applyNumberFormat="1" applyFont="1" applyFill="1" applyBorder="1" applyAlignment="1">
      <alignment vertical="center"/>
    </xf>
    <xf numFmtId="0" fontId="17" fillId="0" borderId="9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vertical="center"/>
    </xf>
    <xf numFmtId="0" fontId="2" fillId="0" borderId="92" xfId="0" applyFont="1" applyFill="1" applyBorder="1"/>
    <xf numFmtId="164" fontId="14" fillId="0" borderId="92" xfId="0" applyNumberFormat="1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0" fontId="2" fillId="0" borderId="97" xfId="0" applyFont="1" applyFill="1" applyBorder="1"/>
    <xf numFmtId="164" fontId="14" fillId="0" borderId="97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3" xfId="0" applyFont="1" applyFill="1" applyBorder="1" applyAlignment="1">
      <alignment vertical="center" wrapText="1"/>
    </xf>
    <xf numFmtId="0" fontId="21" fillId="0" borderId="36" xfId="0" applyFont="1" applyBorder="1"/>
    <xf numFmtId="2" fontId="14" fillId="10" borderId="107" xfId="0" applyNumberFormat="1" applyFont="1" applyFill="1" applyBorder="1" applyAlignment="1">
      <alignment horizontal="center" vertical="center"/>
    </xf>
    <xf numFmtId="2" fontId="14" fillId="10" borderId="107" xfId="0" applyNumberFormat="1" applyFont="1" applyFill="1" applyBorder="1" applyAlignment="1">
      <alignment horizontal="center"/>
    </xf>
    <xf numFmtId="164" fontId="2" fillId="10" borderId="107" xfId="0" applyNumberFormat="1" applyFont="1" applyFill="1" applyBorder="1" applyAlignment="1">
      <alignment horizontal="center"/>
    </xf>
    <xf numFmtId="164" fontId="2" fillId="9" borderId="107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7" xfId="0" applyFont="1" applyFill="1" applyBorder="1" applyAlignment="1">
      <alignment horizontal="center"/>
    </xf>
    <xf numFmtId="2" fontId="14" fillId="10" borderId="97" xfId="0" applyNumberFormat="1" applyFont="1" applyFill="1" applyBorder="1" applyAlignment="1">
      <alignment horizontal="center" vertical="center"/>
    </xf>
    <xf numFmtId="2" fontId="14" fillId="10" borderId="97" xfId="0" applyNumberFormat="1" applyFont="1" applyFill="1" applyBorder="1" applyAlignment="1">
      <alignment horizontal="center"/>
    </xf>
    <xf numFmtId="164" fontId="2" fillId="10" borderId="97" xfId="0" applyNumberFormat="1" applyFont="1" applyFill="1" applyBorder="1" applyAlignment="1">
      <alignment horizontal="center"/>
    </xf>
    <xf numFmtId="164" fontId="2" fillId="9" borderId="97" xfId="0" applyNumberFormat="1" applyFont="1" applyFill="1" applyBorder="1" applyAlignment="1">
      <alignment horizontal="center"/>
    </xf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11" borderId="114" xfId="0" applyNumberFormat="1" applyFont="1" applyFill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2" fillId="5" borderId="46" xfId="0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vertical="center"/>
    </xf>
    <xf numFmtId="0" fontId="22" fillId="0" borderId="46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3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2" fillId="0" borderId="62" xfId="0" applyFont="1" applyFill="1" applyBorder="1" applyAlignment="1">
      <alignment horizontal="center" vertical="center"/>
    </xf>
    <xf numFmtId="0" fontId="23" fillId="0" borderId="69" xfId="0" applyFont="1" applyFill="1" applyBorder="1" applyAlignment="1">
      <alignment vertical="top" wrapText="1"/>
    </xf>
    <xf numFmtId="0" fontId="23" fillId="0" borderId="53" xfId="0" applyFont="1" applyFill="1" applyBorder="1" applyAlignment="1">
      <alignment horizontal="center" vertical="top" wrapText="1"/>
    </xf>
    <xf numFmtId="0" fontId="23" fillId="0" borderId="72" xfId="0" applyFont="1" applyFill="1" applyBorder="1" applyAlignment="1">
      <alignment horizontal="center"/>
    </xf>
    <xf numFmtId="0" fontId="22" fillId="0" borderId="62" xfId="0" applyFont="1" applyFill="1" applyBorder="1" applyAlignment="1">
      <alignment horizontal="center" vertical="top" wrapText="1"/>
    </xf>
    <xf numFmtId="0" fontId="22" fillId="0" borderId="79" xfId="0" applyFont="1" applyFill="1" applyBorder="1" applyAlignment="1">
      <alignment horizontal="center" vertical="center" wrapText="1"/>
    </xf>
    <xf numFmtId="20" fontId="22" fillId="0" borderId="82" xfId="0" applyNumberFormat="1" applyFont="1" applyFill="1" applyBorder="1" applyAlignment="1">
      <alignment horizontal="center" vertical="top"/>
    </xf>
    <xf numFmtId="0" fontId="22" fillId="0" borderId="83" xfId="0" applyFont="1" applyFill="1" applyBorder="1" applyAlignment="1">
      <alignment horizontal="center" vertical="top"/>
    </xf>
    <xf numFmtId="0" fontId="22" fillId="0" borderId="72" xfId="0" applyFont="1" applyFill="1" applyBorder="1" applyAlignment="1">
      <alignment horizontal="center" vertical="center"/>
    </xf>
    <xf numFmtId="0" fontId="22" fillId="0" borderId="86" xfId="0" applyFont="1" applyFill="1" applyBorder="1" applyAlignment="1">
      <alignment horizontal="center" vertical="center"/>
    </xf>
    <xf numFmtId="164" fontId="17" fillId="5" borderId="11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164" fontId="14" fillId="0" borderId="90" xfId="0" applyNumberFormat="1" applyFont="1" applyFill="1" applyBorder="1" applyAlignment="1">
      <alignment horizontal="center" vertical="center"/>
    </xf>
    <xf numFmtId="2" fontId="14" fillId="0" borderId="90" xfId="0" applyNumberFormat="1" applyFont="1" applyFill="1" applyBorder="1" applyAlignment="1">
      <alignment horizontal="center" vertical="center"/>
    </xf>
    <xf numFmtId="164" fontId="17" fillId="5" borderId="116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2" borderId="16" xfId="0" applyFont="1" applyFill="1" applyBorder="1" applyAlignment="1">
      <alignment horizontal="center"/>
    </xf>
    <xf numFmtId="0" fontId="14" fillId="12" borderId="14" xfId="0" applyFont="1" applyFill="1" applyBorder="1" applyAlignment="1">
      <alignment horizontal="center"/>
    </xf>
    <xf numFmtId="0" fontId="0" fillId="0" borderId="117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18" xfId="0" applyFont="1" applyBorder="1" applyAlignment="1">
      <alignment horizontal="center" vertical="center" wrapText="1"/>
    </xf>
    <xf numFmtId="0" fontId="0" fillId="0" borderId="11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2" xfId="0" applyFont="1" applyBorder="1" applyAlignment="1">
      <alignment horizontal="left" wrapText="1"/>
    </xf>
    <xf numFmtId="0" fontId="0" fillId="0" borderId="35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1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6" xfId="0" applyFont="1" applyFill="1" applyBorder="1" applyAlignment="1">
      <alignment horizontal="center" vertical="center"/>
    </xf>
    <xf numFmtId="0" fontId="14" fillId="3" borderId="93" xfId="0" applyFont="1" applyFill="1" applyBorder="1"/>
    <xf numFmtId="0" fontId="14" fillId="3" borderId="113" xfId="0" applyFont="1" applyFill="1" applyBorder="1"/>
    <xf numFmtId="166" fontId="14" fillId="10" borderId="106" xfId="0" applyNumberFormat="1" applyFont="1" applyFill="1" applyBorder="1" applyAlignment="1">
      <alignment horizontal="center" vertical="center"/>
    </xf>
    <xf numFmtId="0" fontId="14" fillId="10" borderId="108" xfId="0" applyFont="1" applyFill="1" applyBorder="1" applyAlignment="1">
      <alignment horizontal="center" vertical="center"/>
    </xf>
    <xf numFmtId="0" fontId="14" fillId="3" borderId="110" xfId="0" applyFont="1" applyFill="1" applyBorder="1"/>
    <xf numFmtId="0" fontId="14" fillId="3" borderId="115" xfId="0" applyFont="1" applyFill="1" applyBorder="1"/>
    <xf numFmtId="2" fontId="14" fillId="9" borderId="95" xfId="0" applyNumberFormat="1" applyFont="1" applyFill="1" applyBorder="1" applyAlignment="1">
      <alignment horizontal="center" vertical="center"/>
    </xf>
    <xf numFmtId="164" fontId="14" fillId="9" borderId="95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5" xfId="0" applyFont="1" applyFill="1" applyBorder="1" applyAlignment="1">
      <alignment horizontal="center" vertical="center"/>
    </xf>
    <xf numFmtId="0" fontId="14" fillId="3" borderId="109" xfId="0" applyFont="1" applyFill="1" applyBorder="1"/>
    <xf numFmtId="0" fontId="14" fillId="3" borderId="112" xfId="0" applyFont="1" applyFill="1" applyBorder="1"/>
    <xf numFmtId="2" fontId="14" fillId="9" borderId="106" xfId="0" applyNumberFormat="1" applyFont="1" applyFill="1" applyBorder="1" applyAlignment="1">
      <alignment horizontal="center" vertical="center"/>
    </xf>
    <xf numFmtId="0" fontId="14" fillId="3" borderId="111" xfId="0" applyFont="1" applyFill="1" applyBorder="1"/>
    <xf numFmtId="164" fontId="14" fillId="9" borderId="106" xfId="0" applyNumberFormat="1" applyFont="1" applyFill="1" applyBorder="1" applyAlignment="1">
      <alignment horizontal="center" vertical="center"/>
    </xf>
    <xf numFmtId="164" fontId="14" fillId="10" borderId="106" xfId="0" applyNumberFormat="1" applyFont="1" applyFill="1" applyBorder="1" applyAlignment="1">
      <alignment horizontal="center" vertical="center"/>
    </xf>
    <xf numFmtId="164" fontId="14" fillId="0" borderId="90" xfId="0" applyNumberFormat="1" applyFont="1" applyFill="1" applyBorder="1" applyAlignment="1">
      <alignment horizontal="center" vertical="center"/>
    </xf>
    <xf numFmtId="0" fontId="14" fillId="0" borderId="93" xfId="0" applyFont="1" applyFill="1" applyBorder="1"/>
    <xf numFmtId="0" fontId="14" fillId="0" borderId="99" xfId="0" applyFont="1" applyFill="1" applyBorder="1"/>
    <xf numFmtId="165" fontId="14" fillId="0" borderId="90" xfId="0" applyNumberFormat="1" applyFont="1" applyFill="1" applyBorder="1" applyAlignment="1">
      <alignment horizontal="center" vertical="center"/>
    </xf>
    <xf numFmtId="0" fontId="14" fillId="0" borderId="90" xfId="0" applyFont="1" applyFill="1" applyBorder="1" applyAlignment="1">
      <alignment horizontal="center" vertical="center"/>
    </xf>
    <xf numFmtId="0" fontId="14" fillId="0" borderId="96" xfId="0" applyFont="1" applyFill="1" applyBorder="1" applyAlignment="1">
      <alignment horizontal="center" vertical="center"/>
    </xf>
    <xf numFmtId="0" fontId="14" fillId="0" borderId="98" xfId="0" applyFont="1" applyFill="1" applyBorder="1"/>
    <xf numFmtId="0" fontId="14" fillId="0" borderId="101" xfId="0" applyFont="1" applyFill="1" applyBorder="1"/>
    <xf numFmtId="0" fontId="4" fillId="8" borderId="102" xfId="0" applyFont="1" applyFill="1" applyBorder="1" applyAlignment="1">
      <alignment horizontal="center" vertical="center" textRotation="90"/>
    </xf>
    <xf numFmtId="0" fontId="4" fillId="8" borderId="103" xfId="0" applyFont="1" applyFill="1" applyBorder="1" applyAlignment="1">
      <alignment horizontal="center" vertical="center" textRotation="90"/>
    </xf>
    <xf numFmtId="0" fontId="4" fillId="8" borderId="104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4" xfId="0" applyFont="1" applyFill="1" applyBorder="1" applyAlignment="1">
      <alignment horizontal="center" vertical="center"/>
    </xf>
    <xf numFmtId="0" fontId="14" fillId="0" borderId="71" xfId="0" applyFont="1" applyFill="1" applyBorder="1"/>
    <xf numFmtId="0" fontId="14" fillId="0" borderId="78" xfId="0" applyFont="1" applyFill="1" applyBorder="1"/>
    <xf numFmtId="2" fontId="14" fillId="0" borderId="90" xfId="0" applyNumberFormat="1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/>
    </xf>
    <xf numFmtId="0" fontId="14" fillId="7" borderId="41" xfId="0" applyFont="1" applyFill="1" applyBorder="1" applyAlignment="1">
      <alignment horizontal="center"/>
    </xf>
    <xf numFmtId="0" fontId="14" fillId="0" borderId="41" xfId="0" applyFont="1" applyBorder="1"/>
    <xf numFmtId="0" fontId="14" fillId="0" borderId="42" xfId="0" applyFont="1" applyBorder="1"/>
    <xf numFmtId="0" fontId="17" fillId="6" borderId="74" xfId="0" applyFont="1" applyFill="1" applyBorder="1" applyAlignment="1">
      <alignment horizontal="center" vertical="center" wrapText="1"/>
    </xf>
    <xf numFmtId="0" fontId="14" fillId="0" borderId="71" xfId="0" applyFont="1" applyBorder="1"/>
    <xf numFmtId="0" fontId="17" fillId="6" borderId="90" xfId="0" applyFont="1" applyFill="1" applyBorder="1" applyAlignment="1">
      <alignment horizontal="center" vertical="center" wrapText="1"/>
    </xf>
    <xf numFmtId="0" fontId="14" fillId="0" borderId="93" xfId="0" applyFont="1" applyBorder="1"/>
    <xf numFmtId="0" fontId="17" fillId="6" borderId="90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4" fillId="0" borderId="38" xfId="0" applyFont="1" applyBorder="1"/>
    <xf numFmtId="0" fontId="14" fillId="0" borderId="76" xfId="0" applyFont="1" applyBorder="1"/>
    <xf numFmtId="0" fontId="14" fillId="0" borderId="0" xfId="0" applyFont="1" applyBorder="1"/>
    <xf numFmtId="0" fontId="17" fillId="6" borderId="91" xfId="0" applyFont="1" applyFill="1" applyBorder="1" applyAlignment="1">
      <alignment horizontal="center" vertical="center" wrapText="1"/>
    </xf>
    <xf numFmtId="0" fontId="14" fillId="0" borderId="94" xfId="0" applyFont="1" applyBorder="1"/>
    <xf numFmtId="0" fontId="17" fillId="6" borderId="37" xfId="0" applyFont="1" applyFill="1" applyBorder="1" applyAlignment="1">
      <alignment horizontal="center" vertical="center" textRotation="90" wrapText="1"/>
    </xf>
    <xf numFmtId="0" fontId="14" fillId="0" borderId="88" xfId="0" applyFont="1" applyBorder="1"/>
    <xf numFmtId="0" fontId="14" fillId="0" borderId="40" xfId="0" applyFont="1" applyBorder="1"/>
    <xf numFmtId="0" fontId="14" fillId="0" borderId="37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/>
    </xf>
    <xf numFmtId="0" fontId="14" fillId="7" borderId="8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89" xfId="0" applyFont="1" applyBorder="1"/>
    <xf numFmtId="0" fontId="14" fillId="7" borderId="40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 wrapText="1"/>
    </xf>
    <xf numFmtId="0" fontId="14" fillId="0" borderId="84" xfId="0" applyFont="1" applyFill="1" applyBorder="1"/>
    <xf numFmtId="0" fontId="2" fillId="0" borderId="60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0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 vertical="top"/>
    </xf>
    <xf numFmtId="0" fontId="22" fillId="0" borderId="60" xfId="0" applyFont="1" applyFill="1" applyBorder="1" applyAlignment="1">
      <alignment horizontal="center" vertical="center" wrapText="1"/>
    </xf>
    <xf numFmtId="0" fontId="15" fillId="0" borderId="87" xfId="0" applyFont="1" applyFill="1" applyBorder="1"/>
    <xf numFmtId="0" fontId="2" fillId="0" borderId="79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2" fillId="0" borderId="81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 vertical="top"/>
    </xf>
    <xf numFmtId="0" fontId="14" fillId="0" borderId="52" xfId="0" applyFont="1" applyFill="1" applyBorder="1"/>
    <xf numFmtId="0" fontId="22" fillId="0" borderId="63" xfId="0" applyFont="1" applyFill="1" applyBorder="1" applyAlignment="1">
      <alignment horizontal="center"/>
    </xf>
    <xf numFmtId="0" fontId="15" fillId="0" borderId="63" xfId="0" applyFont="1" applyFill="1" applyBorder="1"/>
    <xf numFmtId="0" fontId="23" fillId="0" borderId="64" xfId="0" applyFont="1" applyFill="1" applyBorder="1" applyAlignment="1">
      <alignment horizontal="center"/>
    </xf>
    <xf numFmtId="0" fontId="15" fillId="0" borderId="65" xfId="0" applyFont="1" applyFill="1" applyBorder="1"/>
    <xf numFmtId="0" fontId="15" fillId="0" borderId="66" xfId="0" applyFont="1" applyFill="1" applyBorder="1"/>
    <xf numFmtId="0" fontId="23" fillId="0" borderId="67" xfId="0" applyFont="1" applyFill="1" applyBorder="1" applyAlignment="1">
      <alignment horizontal="center"/>
    </xf>
    <xf numFmtId="0" fontId="15" fillId="0" borderId="68" xfId="0" applyFont="1" applyFill="1" applyBorder="1"/>
    <xf numFmtId="0" fontId="17" fillId="6" borderId="70" xfId="0" applyFont="1" applyFill="1" applyBorder="1" applyAlignment="1">
      <alignment horizontal="center" vertical="center" wrapText="1"/>
    </xf>
    <xf numFmtId="0" fontId="14" fillId="0" borderId="77" xfId="0" applyFont="1" applyBorder="1"/>
    <xf numFmtId="0" fontId="14" fillId="0" borderId="85" xfId="0" applyFont="1" applyBorder="1"/>
    <xf numFmtId="0" fontId="24" fillId="0" borderId="71" xfId="0" applyFont="1" applyFill="1" applyBorder="1" applyAlignment="1">
      <alignment horizontal="center" vertical="center" wrapText="1"/>
    </xf>
    <xf numFmtId="0" fontId="2" fillId="0" borderId="72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/>
    </xf>
    <xf numFmtId="0" fontId="22" fillId="0" borderId="76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38" xfId="0" applyFont="1" applyFill="1" applyBorder="1"/>
    <xf numFmtId="0" fontId="15" fillId="0" borderId="39" xfId="0" applyFont="1" applyFill="1" applyBorder="1"/>
    <xf numFmtId="0" fontId="15" fillId="0" borderId="80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2" fillId="0" borderId="48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vertical="center"/>
    </xf>
    <xf numFmtId="0" fontId="22" fillId="0" borderId="50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vertical="center"/>
    </xf>
    <xf numFmtId="0" fontId="15" fillId="0" borderId="39" xfId="0" applyFont="1" applyFill="1" applyBorder="1" applyAlignment="1">
      <alignment vertical="center"/>
    </xf>
    <xf numFmtId="0" fontId="16" fillId="0" borderId="50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vertical="center"/>
    </xf>
    <xf numFmtId="0" fontId="17" fillId="6" borderId="37" xfId="0" applyFont="1" applyFill="1" applyBorder="1" applyAlignment="1">
      <alignment horizontal="center" vertical="center" wrapText="1"/>
    </xf>
    <xf numFmtId="0" fontId="2" fillId="0" borderId="51" xfId="0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 vertical="center"/>
    </xf>
    <xf numFmtId="0" fontId="14" fillId="0" borderId="54" xfId="0" applyFont="1" applyFill="1" applyBorder="1"/>
    <xf numFmtId="0" fontId="2" fillId="0" borderId="55" xfId="0" applyFont="1" applyFill="1" applyBorder="1" applyAlignment="1">
      <alignment horizontal="center" vertical="center" wrapText="1"/>
    </xf>
    <xf numFmtId="0" fontId="14" fillId="0" borderId="56" xfId="0" applyFont="1" applyFill="1" applyBorder="1"/>
    <xf numFmtId="0" fontId="14" fillId="0" borderId="57" xfId="0" applyFont="1" applyFill="1" applyBorder="1"/>
    <xf numFmtId="0" fontId="2" fillId="0" borderId="54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3" fillId="0" borderId="38" xfId="0" applyFont="1" applyBorder="1" applyAlignment="1">
      <alignment horizontal="center" wrapText="1"/>
    </xf>
    <xf numFmtId="14" fontId="22" fillId="0" borderId="44" xfId="0" applyNumberFormat="1" applyFont="1" applyFill="1" applyBorder="1" applyAlignment="1">
      <alignment horizontal="center" vertical="center"/>
    </xf>
    <xf numFmtId="0" fontId="15" fillId="0" borderId="45" xfId="0" applyFont="1" applyFill="1" applyBorder="1"/>
    <xf numFmtId="0" fontId="22" fillId="0" borderId="44" xfId="0" applyFont="1" applyBorder="1" applyAlignment="1">
      <alignment horizontal="center" vertical="center" wrapText="1"/>
    </xf>
    <xf numFmtId="0" fontId="15" fillId="0" borderId="45" xfId="0" applyFont="1" applyBorder="1"/>
    <xf numFmtId="0" fontId="15" fillId="0" borderId="47" xfId="0" applyFont="1" applyBorder="1"/>
    <xf numFmtId="0" fontId="1" fillId="0" borderId="32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164" fontId="14" fillId="12" borderId="16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0" fontId="0" fillId="0" borderId="124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24" xfId="0" applyFont="1" applyBorder="1" applyAlignment="1">
      <alignment horizontal="center"/>
    </xf>
    <xf numFmtId="0" fontId="3" fillId="0" borderId="129" xfId="0" applyFont="1" applyBorder="1" applyAlignment="1">
      <alignment horizontal="center"/>
    </xf>
    <xf numFmtId="0" fontId="3" fillId="0" borderId="130" xfId="0" applyFont="1" applyBorder="1" applyAlignment="1">
      <alignment horizontal="center"/>
    </xf>
    <xf numFmtId="0" fontId="3" fillId="0" borderId="125" xfId="0" applyFont="1" applyBorder="1" applyAlignment="1">
      <alignment horizontal="center"/>
    </xf>
    <xf numFmtId="0" fontId="0" fillId="0" borderId="124" xfId="0" applyBorder="1" applyAlignment="1">
      <alignment horizontal="center"/>
    </xf>
    <xf numFmtId="0" fontId="1" fillId="4" borderId="124" xfId="0" applyFont="1" applyFill="1" applyBorder="1" applyAlignment="1">
      <alignment horizontal="center"/>
    </xf>
    <xf numFmtId="0" fontId="1" fillId="4" borderId="125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0" fontId="1" fillId="0" borderId="121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0" fillId="0" borderId="31" xfId="0" applyFont="1" applyBorder="1"/>
    <xf numFmtId="0" fontId="0" fillId="0" borderId="13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1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37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840941"/>
          <a:ext cx="5334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89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70793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105</xdr:row>
      <xdr:rowOff>63500</xdr:rowOff>
    </xdr:from>
    <xdr:to>
      <xdr:col>5</xdr:col>
      <xdr:colOff>408063</xdr:colOff>
      <xdr:row>111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31365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105</xdr:row>
      <xdr:rowOff>63500</xdr:rowOff>
    </xdr:from>
    <xdr:to>
      <xdr:col>10</xdr:col>
      <xdr:colOff>445918</xdr:colOff>
      <xdr:row>111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031365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553711</xdr:colOff>
      <xdr:row>114</xdr:row>
      <xdr:rowOff>63501</xdr:rowOff>
    </xdr:from>
    <xdr:to>
      <xdr:col>15</xdr:col>
      <xdr:colOff>393134</xdr:colOff>
      <xdr:row>114</xdr:row>
      <xdr:rowOff>2102069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0786" y="22837776"/>
          <a:ext cx="2696923" cy="2038568"/>
        </a:xfrm>
        <a:prstGeom prst="rect">
          <a:avLst/>
        </a:prstGeom>
      </xdr:spPr>
    </xdr:pic>
    <xdr:clientData/>
  </xdr:twoCellAnchor>
  <xdr:twoCellAnchor editAs="oneCell">
    <xdr:from>
      <xdr:col>1</xdr:col>
      <xdr:colOff>419796</xdr:colOff>
      <xdr:row>114</xdr:row>
      <xdr:rowOff>49811</xdr:rowOff>
    </xdr:from>
    <xdr:to>
      <xdr:col>5</xdr:col>
      <xdr:colOff>361951</xdr:colOff>
      <xdr:row>114</xdr:row>
      <xdr:rowOff>2108278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321" y="22824086"/>
          <a:ext cx="2723455" cy="2058467"/>
        </a:xfrm>
        <a:prstGeom prst="rect">
          <a:avLst/>
        </a:prstGeom>
      </xdr:spPr>
    </xdr:pic>
    <xdr:clientData/>
  </xdr:twoCellAnchor>
  <xdr:twoCellAnchor editAs="oneCell">
    <xdr:from>
      <xdr:col>6</xdr:col>
      <xdr:colOff>455084</xdr:colOff>
      <xdr:row>114</xdr:row>
      <xdr:rowOff>21166</xdr:rowOff>
    </xdr:from>
    <xdr:to>
      <xdr:col>10</xdr:col>
      <xdr:colOff>353483</xdr:colOff>
      <xdr:row>114</xdr:row>
      <xdr:rowOff>2103965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0284" y="22795441"/>
          <a:ext cx="2755899" cy="2082799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5364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76485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95</xdr:row>
      <xdr:rowOff>63500</xdr:rowOff>
    </xdr:from>
    <xdr:to>
      <xdr:col>5</xdr:col>
      <xdr:colOff>408063</xdr:colOff>
      <xdr:row>101</xdr:row>
      <xdr:rowOff>250297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8599150"/>
          <a:ext cx="3041196" cy="18060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95</xdr:row>
      <xdr:rowOff>63500</xdr:rowOff>
    </xdr:from>
    <xdr:to>
      <xdr:col>10</xdr:col>
      <xdr:colOff>350668</xdr:colOff>
      <xdr:row>101</xdr:row>
      <xdr:rowOff>250297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8599150"/>
          <a:ext cx="3007085" cy="18060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351317</xdr:colOff>
      <xdr:row>104</xdr:row>
      <xdr:rowOff>63501</xdr:rowOff>
    </xdr:from>
    <xdr:to>
      <xdr:col>5</xdr:col>
      <xdr:colOff>59833</xdr:colOff>
      <xdr:row>104</xdr:row>
      <xdr:rowOff>1940388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842" y="21123276"/>
          <a:ext cx="2489816" cy="1876887"/>
        </a:xfrm>
        <a:prstGeom prst="rect">
          <a:avLst/>
        </a:prstGeom>
      </xdr:spPr>
    </xdr:pic>
    <xdr:clientData/>
  </xdr:twoCellAnchor>
  <xdr:twoCellAnchor editAs="oneCell">
    <xdr:from>
      <xdr:col>11</xdr:col>
      <xdr:colOff>448400</xdr:colOff>
      <xdr:row>104</xdr:row>
      <xdr:rowOff>86501</xdr:rowOff>
    </xdr:from>
    <xdr:to>
      <xdr:col>15</xdr:col>
      <xdr:colOff>72249</xdr:colOff>
      <xdr:row>104</xdr:row>
      <xdr:rowOff>1963388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725" y="21146276"/>
          <a:ext cx="2481349" cy="1876887"/>
        </a:xfrm>
        <a:prstGeom prst="rect">
          <a:avLst/>
        </a:prstGeom>
      </xdr:spPr>
    </xdr:pic>
    <xdr:clientData/>
  </xdr:twoCellAnchor>
  <xdr:twoCellAnchor editAs="oneCell">
    <xdr:from>
      <xdr:col>6</xdr:col>
      <xdr:colOff>545483</xdr:colOff>
      <xdr:row>104</xdr:row>
      <xdr:rowOff>88334</xdr:rowOff>
    </xdr:from>
    <xdr:to>
      <xdr:col>10</xdr:col>
      <xdr:colOff>74082</xdr:colOff>
      <xdr:row>104</xdr:row>
      <xdr:rowOff>1965221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683" y="21148109"/>
          <a:ext cx="2481349" cy="1876887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73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99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8793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76485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115</xdr:row>
      <xdr:rowOff>63500</xdr:rowOff>
    </xdr:from>
    <xdr:to>
      <xdr:col>5</xdr:col>
      <xdr:colOff>408063</xdr:colOff>
      <xdr:row>121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202815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115</xdr:row>
      <xdr:rowOff>63500</xdr:rowOff>
    </xdr:from>
    <xdr:to>
      <xdr:col>10</xdr:col>
      <xdr:colOff>350668</xdr:colOff>
      <xdr:row>121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202815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514915</xdr:colOff>
      <xdr:row>124</xdr:row>
      <xdr:rowOff>42229</xdr:rowOff>
    </xdr:from>
    <xdr:to>
      <xdr:col>5</xdr:col>
      <xdr:colOff>173564</xdr:colOff>
      <xdr:row>124</xdr:row>
      <xdr:rowOff>1881716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440" y="24531004"/>
          <a:ext cx="2439949" cy="1839487"/>
        </a:xfrm>
        <a:prstGeom prst="rect">
          <a:avLst/>
        </a:prstGeom>
      </xdr:spPr>
    </xdr:pic>
    <xdr:clientData/>
  </xdr:twoCellAnchor>
  <xdr:twoCellAnchor editAs="oneCell">
    <xdr:from>
      <xdr:col>12</xdr:col>
      <xdr:colOff>29914</xdr:colOff>
      <xdr:row>124</xdr:row>
      <xdr:rowOff>118145</xdr:rowOff>
    </xdr:from>
    <xdr:to>
      <xdr:col>15</xdr:col>
      <xdr:colOff>323563</xdr:colOff>
      <xdr:row>124</xdr:row>
      <xdr:rowOff>1957632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614" y="24606920"/>
          <a:ext cx="2436774" cy="1839487"/>
        </a:xfrm>
        <a:prstGeom prst="rect">
          <a:avLst/>
        </a:prstGeom>
      </xdr:spPr>
    </xdr:pic>
    <xdr:clientData/>
  </xdr:twoCellAnchor>
  <xdr:twoCellAnchor editAs="oneCell">
    <xdr:from>
      <xdr:col>6</xdr:col>
      <xdr:colOff>624415</xdr:colOff>
      <xdr:row>124</xdr:row>
      <xdr:rowOff>77646</xdr:rowOff>
    </xdr:from>
    <xdr:to>
      <xdr:col>10</xdr:col>
      <xdr:colOff>103147</xdr:colOff>
      <xdr:row>124</xdr:row>
      <xdr:rowOff>1917133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129615" y="24566421"/>
          <a:ext cx="2431482" cy="1839487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8</xdr:col>
      <xdr:colOff>56087</xdr:colOff>
      <xdr:row>113</xdr:row>
      <xdr:rowOff>56351</xdr:rowOff>
    </xdr:from>
    <xdr:ext cx="1322606" cy="34246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E94871D-9018-4FB9-936B-0E0BFD977424}"/>
            </a:ext>
          </a:extLst>
        </xdr:cNvPr>
        <xdr:cNvSpPr txBox="1"/>
      </xdr:nvSpPr>
      <xdr:spPr>
        <a:xfrm>
          <a:off x="4990037" y="21239951"/>
          <a:ext cx="1322606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00" b="1" i="0">
              <a:latin typeface="Cambria Math"/>
            </a:rPr>
            <a:t>(</a:t>
          </a:r>
          <a:r>
            <a:rPr lang="es-CO" sz="1000" b="1" i="0">
              <a:latin typeface="Cambria Math" panose="02040503050406030204" pitchFamily="18" charset="0"/>
            </a:rPr>
            <a:t>𝑽</a:t>
          </a:r>
          <a:r>
            <a:rPr lang="es-CO" sz="1000" b="1" i="0">
              <a:latin typeface="Cambria Math"/>
            </a:rPr>
            <a:t>_</a:t>
          </a:r>
          <a:r>
            <a:rPr lang="es-CO" sz="1000" b="1" i="0">
              <a:latin typeface="Cambria Math" panose="02040503050406030204" pitchFamily="18" charset="0"/>
            </a:rPr>
            <a:t>𝒊</a:t>
          </a:r>
          <a:r>
            <a:rPr lang="es-CO" sz="1000" b="1" i="0">
              <a:latin typeface="Cambria Math"/>
            </a:rPr>
            <a:t> ) ̅[</a:t>
          </a:r>
          <a:r>
            <a:rPr lang="es-CO" sz="1000" b="1" i="0">
              <a:latin typeface="Cambria Math" panose="02040503050406030204" pitchFamily="18" charset="0"/>
            </a:rPr>
            <a:t>𝒇𝒕</a:t>
          </a:r>
          <a:r>
            <a:rPr lang="es-CO" sz="1000" b="1" i="0">
              <a:latin typeface="Cambria Math"/>
            </a:rPr>
            <a:t>/</a:t>
          </a:r>
          <a:r>
            <a:rPr lang="es-CO" sz="1000" b="1" i="0">
              <a:latin typeface="Cambria Math" panose="02040503050406030204" pitchFamily="18" charset="0"/>
            </a:rPr>
            <a:t>𝒔</a:t>
          </a:r>
          <a:r>
            <a:rPr lang="es-CO" sz="1000" b="1" i="0">
              <a:latin typeface="Cambria Math"/>
            </a:rPr>
            <a:t>]</a:t>
          </a:r>
          <a:r>
            <a:rPr lang="es-CO" sz="1000" b="1" i="0">
              <a:latin typeface="Cambria Math" panose="02040503050406030204" pitchFamily="18" charset="0"/>
            </a:rPr>
            <a:t>=𝟑,𝟐𝟖∗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̅[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𝒎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]</a:t>
          </a:r>
          <a:endParaRPr lang="es-CO" sz="1000" b="1" i="0"/>
        </a:p>
      </xdr:txBody>
    </xdr:sp>
    <xdr:clientData/>
  </xdr:oneCellAnchor>
  <xdr:oneCellAnchor>
    <xdr:from>
      <xdr:col>7</xdr:col>
      <xdr:colOff>117141</xdr:colOff>
      <xdr:row>119</xdr:row>
      <xdr:rowOff>10584</xdr:rowOff>
    </xdr:from>
    <xdr:ext cx="153866" cy="178575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2222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5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135</xdr:row>
      <xdr:rowOff>63500</xdr:rowOff>
    </xdr:from>
    <xdr:to>
      <xdr:col>5</xdr:col>
      <xdr:colOff>408063</xdr:colOff>
      <xdr:row>141</xdr:row>
      <xdr:rowOff>250298</xdr:rowOff>
    </xdr:to>
    <xdr:pic>
      <xdr:nvPicPr>
        <xdr:cNvPr id="6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5457150"/>
          <a:ext cx="3041196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135</xdr:row>
      <xdr:rowOff>63500</xdr:rowOff>
    </xdr:from>
    <xdr:to>
      <xdr:col>10</xdr:col>
      <xdr:colOff>287168</xdr:colOff>
      <xdr:row>141</xdr:row>
      <xdr:rowOff>250298</xdr:rowOff>
    </xdr:to>
    <xdr:pic>
      <xdr:nvPicPr>
        <xdr:cNvPr id="7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5457150"/>
          <a:ext cx="3010260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253999</xdr:colOff>
      <xdr:row>144</xdr:row>
      <xdr:rowOff>52915</xdr:rowOff>
    </xdr:from>
    <xdr:to>
      <xdr:col>4</xdr:col>
      <xdr:colOff>535797</xdr:colOff>
      <xdr:row>144</xdr:row>
      <xdr:rowOff>1957917</xdr:rowOff>
    </xdr:to>
    <xdr:pic>
      <xdr:nvPicPr>
        <xdr:cNvPr id="9" name="Imagen 8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7605"/>
        <a:stretch/>
      </xdr:blipFill>
      <xdr:spPr>
        <a:xfrm>
          <a:off x="901699" y="27970690"/>
          <a:ext cx="1710548" cy="1905002"/>
        </a:xfrm>
        <a:prstGeom prst="rect">
          <a:avLst/>
        </a:prstGeom>
      </xdr:spPr>
    </xdr:pic>
    <xdr:clientData/>
  </xdr:twoCellAnchor>
  <xdr:twoCellAnchor editAs="oneCell">
    <xdr:from>
      <xdr:col>7</xdr:col>
      <xdr:colOff>117715</xdr:colOff>
      <xdr:row>144</xdr:row>
      <xdr:rowOff>51083</xdr:rowOff>
    </xdr:from>
    <xdr:to>
      <xdr:col>9</xdr:col>
      <xdr:colOff>776490</xdr:colOff>
      <xdr:row>144</xdr:row>
      <xdr:rowOff>2000250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629"/>
        <a:stretch/>
      </xdr:blipFill>
      <xdr:spPr>
        <a:xfrm>
          <a:off x="4337290" y="27968858"/>
          <a:ext cx="2087525" cy="1949167"/>
        </a:xfrm>
        <a:prstGeom prst="rect">
          <a:avLst/>
        </a:prstGeom>
      </xdr:spPr>
    </xdr:pic>
    <xdr:clientData/>
  </xdr:twoCellAnchor>
  <xdr:twoCellAnchor editAs="oneCell">
    <xdr:from>
      <xdr:col>12</xdr:col>
      <xdr:colOff>77216</xdr:colOff>
      <xdr:row>144</xdr:row>
      <xdr:rowOff>63500</xdr:rowOff>
    </xdr:from>
    <xdr:to>
      <xdr:col>15</xdr:col>
      <xdr:colOff>224127</xdr:colOff>
      <xdr:row>144</xdr:row>
      <xdr:rowOff>1979084</xdr:rowOff>
    </xdr:to>
    <xdr:pic>
      <xdr:nvPicPr>
        <xdr:cNvPr id="11" name="Imagen 10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425"/>
        <a:stretch/>
      </xdr:blipFill>
      <xdr:spPr>
        <a:xfrm>
          <a:off x="8030591" y="27981275"/>
          <a:ext cx="2356711" cy="1915584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30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30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topLeftCell="A19" zoomScale="85" zoomScaleNormal="85" workbookViewId="0">
      <selection activeCell="E41" sqref="E41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9" t="s">
        <v>38</v>
      </c>
      <c r="C2" s="99"/>
      <c r="D2" s="99"/>
      <c r="E2" s="99"/>
      <c r="F2" s="99"/>
      <c r="G2" s="99"/>
      <c r="H2" s="99"/>
      <c r="I2" s="99"/>
      <c r="J2" s="99"/>
    </row>
    <row r="3" spans="2:10" ht="6.75" customHeight="1" x14ac:dyDescent="0.25">
      <c r="B3" s="100"/>
      <c r="C3" s="101"/>
      <c r="D3" s="101"/>
      <c r="E3" s="101"/>
      <c r="F3" s="101"/>
      <c r="G3" s="101"/>
      <c r="H3" s="101"/>
      <c r="I3" s="101"/>
      <c r="J3" s="102"/>
    </row>
    <row r="4" spans="2:10" x14ac:dyDescent="0.25">
      <c r="B4" s="103"/>
      <c r="C4" s="105"/>
      <c r="D4" s="105"/>
      <c r="E4" s="105"/>
      <c r="F4" s="105"/>
      <c r="G4" s="105"/>
      <c r="H4" s="105"/>
      <c r="I4" s="105"/>
      <c r="J4" s="106"/>
    </row>
    <row r="5" spans="2:10" x14ac:dyDescent="0.25">
      <c r="B5" s="103"/>
      <c r="C5" s="105"/>
      <c r="D5" s="105"/>
      <c r="E5" s="105"/>
      <c r="F5" s="105"/>
      <c r="G5" s="105"/>
      <c r="H5" s="105"/>
      <c r="I5" s="105"/>
      <c r="J5" s="106"/>
    </row>
    <row r="6" spans="2:10" x14ac:dyDescent="0.25">
      <c r="B6" s="103"/>
      <c r="C6" s="105"/>
      <c r="D6" s="105"/>
      <c r="E6" s="105"/>
      <c r="F6" s="105"/>
      <c r="G6" s="105"/>
      <c r="H6" s="105"/>
      <c r="I6" s="105"/>
      <c r="J6" s="106"/>
    </row>
    <row r="7" spans="2:10" x14ac:dyDescent="0.25">
      <c r="B7" s="103"/>
      <c r="C7" s="105"/>
      <c r="D7" s="105"/>
      <c r="E7" s="105"/>
      <c r="F7" s="105"/>
      <c r="G7" s="105"/>
      <c r="H7" s="105"/>
      <c r="I7" s="105"/>
      <c r="J7" s="106"/>
    </row>
    <row r="8" spans="2:10" x14ac:dyDescent="0.25">
      <c r="B8" s="103"/>
      <c r="C8" s="105"/>
      <c r="D8" s="105"/>
      <c r="E8" s="105"/>
      <c r="F8" s="105"/>
      <c r="G8" s="105"/>
      <c r="H8" s="105"/>
      <c r="I8" s="105"/>
      <c r="J8" s="106"/>
    </row>
    <row r="9" spans="2:10" x14ac:dyDescent="0.25">
      <c r="B9" s="103"/>
      <c r="C9" s="105"/>
      <c r="D9" s="105"/>
      <c r="E9" s="105"/>
      <c r="F9" s="105"/>
      <c r="G9" s="105"/>
      <c r="H9" s="105"/>
      <c r="I9" s="105"/>
      <c r="J9" s="106"/>
    </row>
    <row r="10" spans="2:10" x14ac:dyDescent="0.25">
      <c r="B10" s="103"/>
      <c r="C10" s="105"/>
      <c r="D10" s="105"/>
      <c r="E10" s="105"/>
      <c r="F10" s="105"/>
      <c r="G10" s="105"/>
      <c r="H10" s="105"/>
      <c r="I10" s="105"/>
      <c r="J10" s="106"/>
    </row>
    <row r="11" spans="2:10" x14ac:dyDescent="0.25">
      <c r="B11" s="103"/>
      <c r="C11" s="105"/>
      <c r="D11" s="105"/>
      <c r="E11" s="105"/>
      <c r="F11" s="105"/>
      <c r="G11" s="105"/>
      <c r="H11" s="105"/>
      <c r="I11" s="105"/>
      <c r="J11" s="106"/>
    </row>
    <row r="12" spans="2:10" x14ac:dyDescent="0.25">
      <c r="B12" s="103"/>
      <c r="C12" s="105"/>
      <c r="D12" s="105"/>
      <c r="E12" s="105"/>
      <c r="F12" s="105"/>
      <c r="G12" s="105"/>
      <c r="H12" s="105"/>
      <c r="I12" s="105"/>
      <c r="J12" s="106"/>
    </row>
    <row r="13" spans="2:10" x14ac:dyDescent="0.25">
      <c r="B13" s="103"/>
      <c r="C13" s="105"/>
      <c r="D13" s="105"/>
      <c r="E13" s="105"/>
      <c r="F13" s="105"/>
      <c r="G13" s="105"/>
      <c r="H13" s="105"/>
      <c r="I13" s="105"/>
      <c r="J13" s="106"/>
    </row>
    <row r="14" spans="2:10" x14ac:dyDescent="0.25">
      <c r="B14" s="103"/>
      <c r="C14" s="105"/>
      <c r="D14" s="105"/>
      <c r="E14" s="105"/>
      <c r="F14" s="105"/>
      <c r="G14" s="105"/>
      <c r="H14" s="105"/>
      <c r="I14" s="105"/>
      <c r="J14" s="106"/>
    </row>
    <row r="15" spans="2:10" x14ac:dyDescent="0.25">
      <c r="B15" s="103"/>
      <c r="C15" s="105"/>
      <c r="D15" s="105"/>
      <c r="E15" s="105"/>
      <c r="F15" s="105"/>
      <c r="G15" s="105"/>
      <c r="H15" s="105"/>
      <c r="I15" s="105"/>
      <c r="J15" s="106"/>
    </row>
    <row r="16" spans="2:10" x14ac:dyDescent="0.25">
      <c r="B16" s="103"/>
      <c r="C16" s="105"/>
      <c r="D16" s="105"/>
      <c r="E16" s="105"/>
      <c r="F16" s="105"/>
      <c r="G16" s="105"/>
      <c r="H16" s="105"/>
      <c r="I16" s="105"/>
      <c r="J16" s="106"/>
    </row>
    <row r="17" spans="2:10" x14ac:dyDescent="0.25">
      <c r="B17" s="103"/>
      <c r="C17" s="105"/>
      <c r="D17" s="105"/>
      <c r="E17" s="105"/>
      <c r="F17" s="105"/>
      <c r="G17" s="105"/>
      <c r="H17" s="105"/>
      <c r="I17" s="105"/>
      <c r="J17" s="106"/>
    </row>
    <row r="18" spans="2:10" x14ac:dyDescent="0.25">
      <c r="B18" s="103"/>
      <c r="C18" s="105"/>
      <c r="D18" s="105"/>
      <c r="E18" s="105"/>
      <c r="F18" s="105"/>
      <c r="G18" s="105"/>
      <c r="H18" s="105"/>
      <c r="I18" s="105"/>
      <c r="J18" s="106"/>
    </row>
    <row r="19" spans="2:10" x14ac:dyDescent="0.25">
      <c r="B19" s="103"/>
      <c r="C19" s="105"/>
      <c r="D19" s="105"/>
      <c r="E19" s="105"/>
      <c r="F19" s="105"/>
      <c r="G19" s="105"/>
      <c r="H19" s="105"/>
      <c r="I19" s="105"/>
      <c r="J19" s="106"/>
    </row>
    <row r="20" spans="2:10" x14ac:dyDescent="0.25">
      <c r="B20" s="103"/>
      <c r="C20" s="105"/>
      <c r="D20" s="105"/>
      <c r="E20" s="105"/>
      <c r="F20" s="105"/>
      <c r="G20" s="105"/>
      <c r="H20" s="105"/>
      <c r="I20" s="105"/>
      <c r="J20" s="106"/>
    </row>
    <row r="21" spans="2:10" x14ac:dyDescent="0.25">
      <c r="B21" s="103"/>
      <c r="C21" s="105"/>
      <c r="D21" s="105"/>
      <c r="E21" s="105"/>
      <c r="F21" s="105"/>
      <c r="G21" s="105"/>
      <c r="H21" s="105"/>
      <c r="I21" s="105"/>
      <c r="J21" s="106"/>
    </row>
    <row r="22" spans="2:10" x14ac:dyDescent="0.25">
      <c r="B22" s="103"/>
      <c r="C22" s="105"/>
      <c r="D22" s="105"/>
      <c r="E22" s="105"/>
      <c r="F22" s="105"/>
      <c r="G22" s="105"/>
      <c r="H22" s="105"/>
      <c r="I22" s="105"/>
      <c r="J22" s="106"/>
    </row>
    <row r="23" spans="2:10" x14ac:dyDescent="0.25">
      <c r="B23" s="103"/>
      <c r="C23" s="105"/>
      <c r="D23" s="105"/>
      <c r="E23" s="105"/>
      <c r="F23" s="105"/>
      <c r="G23" s="105"/>
      <c r="H23" s="105"/>
      <c r="I23" s="105"/>
      <c r="J23" s="106"/>
    </row>
    <row r="24" spans="2:10" ht="6.75" customHeight="1" x14ac:dyDescent="0.25">
      <c r="B24" s="104"/>
      <c r="C24" s="108"/>
      <c r="D24" s="108"/>
      <c r="E24" s="108"/>
      <c r="F24" s="108"/>
      <c r="G24" s="108"/>
      <c r="H24" s="108"/>
      <c r="I24" s="108"/>
      <c r="J24" s="107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99" t="s">
        <v>39</v>
      </c>
      <c r="C26" s="99"/>
      <c r="D26" s="99"/>
      <c r="E26" s="99"/>
      <c r="F26" s="99"/>
      <c r="G26" s="99"/>
      <c r="H26" s="99"/>
      <c r="I26" s="99"/>
      <c r="J26" s="99"/>
    </row>
    <row r="27" spans="2:10" ht="6.75" customHeight="1" x14ac:dyDescent="0.25">
      <c r="B27" s="100"/>
      <c r="C27" s="101"/>
      <c r="D27" s="101"/>
      <c r="E27" s="101"/>
      <c r="F27" s="101"/>
      <c r="G27" s="101"/>
      <c r="H27" s="101"/>
      <c r="I27" s="101"/>
      <c r="J27" s="102"/>
    </row>
    <row r="28" spans="2:10" x14ac:dyDescent="0.25">
      <c r="B28" s="103"/>
      <c r="C28" s="105"/>
      <c r="D28" s="105"/>
      <c r="E28" s="105"/>
      <c r="F28" s="105"/>
      <c r="G28" s="105"/>
      <c r="H28" s="105"/>
      <c r="I28" s="105"/>
      <c r="J28" s="106"/>
    </row>
    <row r="29" spans="2:10" x14ac:dyDescent="0.25">
      <c r="B29" s="103"/>
      <c r="C29" s="105"/>
      <c r="D29" s="105"/>
      <c r="E29" s="105"/>
      <c r="F29" s="105"/>
      <c r="G29" s="105"/>
      <c r="H29" s="105"/>
      <c r="I29" s="105"/>
      <c r="J29" s="106"/>
    </row>
    <row r="30" spans="2:10" x14ac:dyDescent="0.25">
      <c r="B30" s="103"/>
      <c r="C30" s="105"/>
      <c r="D30" s="105"/>
      <c r="E30" s="105"/>
      <c r="F30" s="105"/>
      <c r="G30" s="105"/>
      <c r="H30" s="105"/>
      <c r="I30" s="105"/>
      <c r="J30" s="106"/>
    </row>
    <row r="31" spans="2:10" x14ac:dyDescent="0.25">
      <c r="B31" s="103"/>
      <c r="C31" s="105"/>
      <c r="D31" s="105"/>
      <c r="E31" s="105"/>
      <c r="F31" s="105"/>
      <c r="G31" s="105"/>
      <c r="H31" s="105"/>
      <c r="I31" s="105"/>
      <c r="J31" s="106"/>
    </row>
    <row r="32" spans="2:10" x14ac:dyDescent="0.25">
      <c r="B32" s="103"/>
      <c r="C32" s="105"/>
      <c r="D32" s="105"/>
      <c r="E32" s="105"/>
      <c r="F32" s="105"/>
      <c r="G32" s="105"/>
      <c r="H32" s="105"/>
      <c r="I32" s="105"/>
      <c r="J32" s="106"/>
    </row>
    <row r="33" spans="2:10" x14ac:dyDescent="0.25">
      <c r="B33" s="103"/>
      <c r="C33" s="105"/>
      <c r="D33" s="105"/>
      <c r="E33" s="105"/>
      <c r="F33" s="105"/>
      <c r="G33" s="105"/>
      <c r="H33" s="105"/>
      <c r="I33" s="105"/>
      <c r="J33" s="106"/>
    </row>
    <row r="34" spans="2:10" x14ac:dyDescent="0.25">
      <c r="B34" s="103"/>
      <c r="C34" s="105"/>
      <c r="D34" s="105"/>
      <c r="E34" s="105"/>
      <c r="F34" s="105"/>
      <c r="G34" s="105"/>
      <c r="H34" s="105"/>
      <c r="I34" s="105"/>
      <c r="J34" s="106"/>
    </row>
    <row r="35" spans="2:10" x14ac:dyDescent="0.25">
      <c r="B35" s="103"/>
      <c r="C35" s="105"/>
      <c r="D35" s="105"/>
      <c r="E35" s="105"/>
      <c r="F35" s="105"/>
      <c r="G35" s="105"/>
      <c r="H35" s="105"/>
      <c r="I35" s="105"/>
      <c r="J35" s="106"/>
    </row>
    <row r="36" spans="2:10" x14ac:dyDescent="0.25">
      <c r="B36" s="103"/>
      <c r="C36" s="105"/>
      <c r="D36" s="105"/>
      <c r="E36" s="105"/>
      <c r="F36" s="105"/>
      <c r="G36" s="105"/>
      <c r="H36" s="105"/>
      <c r="I36" s="105"/>
      <c r="J36" s="106"/>
    </row>
    <row r="37" spans="2:10" x14ac:dyDescent="0.25">
      <c r="B37" s="103"/>
      <c r="C37" s="105"/>
      <c r="D37" s="105"/>
      <c r="E37" s="105"/>
      <c r="F37" s="105"/>
      <c r="G37" s="105"/>
      <c r="H37" s="105"/>
      <c r="I37" s="105"/>
      <c r="J37" s="106"/>
    </row>
    <row r="38" spans="2:10" ht="6.75" customHeight="1" x14ac:dyDescent="0.25">
      <c r="B38" s="104"/>
      <c r="C38" s="108"/>
      <c r="D38" s="108"/>
      <c r="E38" s="108"/>
      <c r="F38" s="108"/>
      <c r="G38" s="108"/>
      <c r="H38" s="108"/>
      <c r="I38" s="108"/>
      <c r="J38" s="107"/>
    </row>
  </sheetData>
  <mergeCells count="12">
    <mergeCell ref="B2:J2"/>
    <mergeCell ref="C4:I23"/>
    <mergeCell ref="B3:J3"/>
    <mergeCell ref="B4:B24"/>
    <mergeCell ref="J4:J24"/>
    <mergeCell ref="C24:I24"/>
    <mergeCell ref="B26:J26"/>
    <mergeCell ref="B27:J27"/>
    <mergeCell ref="B28:B38"/>
    <mergeCell ref="C28:I37"/>
    <mergeCell ref="J28:J38"/>
    <mergeCell ref="C38:I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tabSelected="1"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0"/>
      <c r="B2" s="321"/>
      <c r="C2" s="322"/>
      <c r="D2" s="323"/>
      <c r="E2" s="324" t="s">
        <v>127</v>
      </c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/>
    </row>
    <row r="3" spans="1:26" s="2" customFormat="1" ht="25.5" customHeight="1" thickBot="1" x14ac:dyDescent="0.3">
      <c r="A3" s="320"/>
      <c r="B3" s="328"/>
      <c r="C3" s="329"/>
      <c r="D3" s="330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3"/>
      <c r="P3" s="334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43069</v>
      </c>
      <c r="D5" s="296"/>
      <c r="E5" s="70" t="s">
        <v>50</v>
      </c>
      <c r="F5" s="71">
        <v>1</v>
      </c>
      <c r="G5" s="72" t="s">
        <v>1</v>
      </c>
      <c r="H5" s="297" t="s">
        <v>128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105</v>
      </c>
      <c r="E6" s="281"/>
      <c r="F6" s="281"/>
      <c r="G6" s="281"/>
      <c r="H6" s="281"/>
      <c r="I6" s="282"/>
      <c r="J6" s="74" t="s">
        <v>3</v>
      </c>
      <c r="K6" s="283" t="s">
        <v>106</v>
      </c>
      <c r="L6" s="282"/>
      <c r="M6" s="283" t="s">
        <v>107</v>
      </c>
      <c r="N6" s="284"/>
      <c r="O6" s="75" t="s">
        <v>51</v>
      </c>
      <c r="P6" s="76">
        <v>1521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108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/>
      <c r="G10" s="210"/>
      <c r="H10" s="251" t="s">
        <v>9</v>
      </c>
      <c r="I10" s="246"/>
      <c r="J10" s="85" t="s">
        <v>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0.41319444444444442</v>
      </c>
      <c r="F11" s="254" t="s">
        <v>11</v>
      </c>
      <c r="G11" s="253"/>
      <c r="H11" s="87">
        <v>0.68</v>
      </c>
      <c r="I11" s="255" t="s">
        <v>12</v>
      </c>
      <c r="J11" s="256"/>
      <c r="K11" s="87">
        <v>18</v>
      </c>
      <c r="L11" s="252" t="s">
        <v>13</v>
      </c>
      <c r="M11" s="253"/>
      <c r="N11" s="88">
        <v>7.6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0.52847222222222223</v>
      </c>
      <c r="F12" s="247" t="s">
        <v>15</v>
      </c>
      <c r="G12" s="246"/>
      <c r="H12" s="87">
        <v>0.68</v>
      </c>
      <c r="I12" s="248" t="s">
        <v>16</v>
      </c>
      <c r="J12" s="246"/>
      <c r="K12" s="86">
        <v>0.42499999999999999</v>
      </c>
      <c r="L12" s="245" t="s">
        <v>17</v>
      </c>
      <c r="M12" s="246"/>
      <c r="N12" s="89">
        <v>0.6</v>
      </c>
      <c r="O12" s="249">
        <v>8.8000000000000007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8.8000000000000007</v>
      </c>
      <c r="D18" s="29">
        <v>0.39500000000000002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8">
        <v>1</v>
      </c>
      <c r="C19" s="211">
        <f>+C18+$N$12</f>
        <v>9.4</v>
      </c>
      <c r="D19" s="188">
        <v>0.44500000000000001</v>
      </c>
      <c r="E19" s="188">
        <v>0.44600000000000001</v>
      </c>
      <c r="F19" s="36" t="s">
        <v>75</v>
      </c>
      <c r="G19" s="37">
        <v>0</v>
      </c>
      <c r="H19" s="38"/>
      <c r="I19" s="39"/>
      <c r="J19" s="40">
        <v>0.123</v>
      </c>
      <c r="K19" s="188">
        <f>+IF(E19&lt;=0.12,(J21),(IF(E19&lt;0.16,((J20+2*J21+J22)/4),IF(E19&gt;=0.16,((J19+3*J20+2*J21+3*J22+J23)/10)))))</f>
        <v>0.38750000000000001</v>
      </c>
      <c r="L19" s="188">
        <f>ROUND(+(D18+D19)/2*(C19-C18),3)</f>
        <v>0.252</v>
      </c>
      <c r="M19" s="188">
        <f>ROUND(+K19*L19,4)</f>
        <v>9.7699999999999995E-2</v>
      </c>
      <c r="N19" s="191">
        <f>ROUND(+M19/$M$103*100,2)</f>
        <v>5.15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>
        <f>IF(E19&lt;0.125,"NA",IF(0.125&lt;=E19,(0.2*E19)))</f>
        <v>8.9200000000000002E-2</v>
      </c>
      <c r="H20" s="43"/>
      <c r="I20" s="44"/>
      <c r="J20" s="45">
        <v>0.222</v>
      </c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>+E19*0.4</f>
        <v>0.1784</v>
      </c>
      <c r="H21" s="43"/>
      <c r="I21" s="44"/>
      <c r="J21" s="45">
        <v>0.374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>
        <f>IF(E19&lt;0.125,"NA",IF(0.125&lt;=E19,(0.8*E19)))</f>
        <v>0.35680000000000001</v>
      </c>
      <c r="H22" s="43"/>
      <c r="I22" s="44"/>
      <c r="J22" s="45">
        <v>0.61</v>
      </c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>+E19</f>
        <v>0.44600000000000001</v>
      </c>
      <c r="H23" s="48"/>
      <c r="I23" s="49"/>
      <c r="J23" s="50">
        <v>0.50800000000000001</v>
      </c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v>2</v>
      </c>
      <c r="C24" s="211">
        <f>+C19+$N$12</f>
        <v>10</v>
      </c>
      <c r="D24" s="188">
        <v>0.42699999999999999</v>
      </c>
      <c r="E24" s="188">
        <v>0.45900000000000002</v>
      </c>
      <c r="F24" s="36" t="s">
        <v>75</v>
      </c>
      <c r="G24" s="37">
        <v>0</v>
      </c>
      <c r="H24" s="38"/>
      <c r="I24" s="39"/>
      <c r="J24" s="40">
        <v>0.115</v>
      </c>
      <c r="K24" s="188">
        <f t="shared" ref="K24" si="0">+IF(E24&lt;=0.12,(J26),(IF(E24&lt;0.16,((J25+2*J26+J27)/4),IF(E24&gt;=0.16,((J24+3*J25+2*J26+3*J27+J28)/10)))))</f>
        <v>0.25769999999999993</v>
      </c>
      <c r="L24" s="188">
        <f>ROUND(+(D19+D24)/2*(C24-C19),3)</f>
        <v>0.26200000000000001</v>
      </c>
      <c r="M24" s="188">
        <f t="shared" ref="M24" si="1">ROUND(+K24*L24,4)</f>
        <v>6.7500000000000004E-2</v>
      </c>
      <c r="N24" s="191">
        <f t="shared" ref="N24" si="2">ROUND(+M24/$M$103*100,2)</f>
        <v>3.56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>
        <f t="shared" ref="G25" si="3">IF(E24&lt;0.125,"NA",IF(0.125&lt;=E24,(0.2*E24)))</f>
        <v>9.1800000000000007E-2</v>
      </c>
      <c r="H25" s="43"/>
      <c r="I25" s="44"/>
      <c r="J25" s="45">
        <v>0.14000000000000001</v>
      </c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 t="shared" ref="G26" si="4">+E24*0.4</f>
        <v>0.18360000000000001</v>
      </c>
      <c r="H26" s="43"/>
      <c r="I26" s="44"/>
      <c r="J26" s="45">
        <v>0.34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>
        <f t="shared" ref="G27" si="5">IF(E24&lt;0.125,"NA",IF(0.125&lt;=E24,(0.8*E24)))</f>
        <v>0.36720000000000003</v>
      </c>
      <c r="H27" s="43"/>
      <c r="I27" s="44"/>
      <c r="J27" s="45">
        <v>0.35</v>
      </c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 t="shared" ref="G28" si="6">+E24</f>
        <v>0.45900000000000002</v>
      </c>
      <c r="H28" s="48"/>
      <c r="I28" s="49"/>
      <c r="J28" s="50">
        <v>0.312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v>3</v>
      </c>
      <c r="C29" s="211">
        <f>+C24+$N$12</f>
        <v>10.6</v>
      </c>
      <c r="D29" s="188">
        <v>0.48</v>
      </c>
      <c r="E29" s="188">
        <v>0.45300000000000001</v>
      </c>
      <c r="F29" s="36" t="s">
        <v>75</v>
      </c>
      <c r="G29" s="37">
        <v>0</v>
      </c>
      <c r="H29" s="38"/>
      <c r="I29" s="39"/>
      <c r="J29" s="40">
        <v>6.3E-2</v>
      </c>
      <c r="K29" s="188">
        <f t="shared" ref="K29" si="7">+IF(E29&lt;=0.12,(J31),(IF(E29&lt;0.16,((J30+2*J31+J32)/4),IF(E29&gt;=0.16,((J29+3*J30+2*J31+3*J32+J33)/10)))))</f>
        <v>0.15760000000000002</v>
      </c>
      <c r="L29" s="188">
        <f>ROUND(+(D24+D29)/2*(C29-C24),3)</f>
        <v>0.27200000000000002</v>
      </c>
      <c r="M29" s="188">
        <f t="shared" ref="M29" si="8">ROUND(+K29*L29,4)</f>
        <v>4.2900000000000001E-2</v>
      </c>
      <c r="N29" s="191">
        <f t="shared" ref="N29" si="9">ROUND(+M29/$M$103*100,2)</f>
        <v>2.2599999999999998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 t="shared" ref="G30" si="10">IF(E29&lt;0.125,"NA",IF(0.125&lt;=E29,(0.2*E29)))</f>
        <v>9.0600000000000014E-2</v>
      </c>
      <c r="H30" s="43"/>
      <c r="I30" s="44"/>
      <c r="J30" s="45">
        <v>0.1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 t="shared" ref="G31" si="11">+E29*0.4</f>
        <v>0.18120000000000003</v>
      </c>
      <c r="H31" s="43"/>
      <c r="I31" s="44"/>
      <c r="J31" s="45">
        <v>0.14099999999999999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 t="shared" ref="G32" si="12">IF(E29&lt;0.125,"NA",IF(0.125&lt;=E29,(0.8*E29)))</f>
        <v>0.36240000000000006</v>
      </c>
      <c r="H32" s="43"/>
      <c r="I32" s="44"/>
      <c r="J32" s="45">
        <v>0.219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 t="shared" ref="G33" si="13">+E29</f>
        <v>0.45300000000000001</v>
      </c>
      <c r="H33" s="48"/>
      <c r="I33" s="49"/>
      <c r="J33" s="50">
        <v>0.27400000000000002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v>4</v>
      </c>
      <c r="C34" s="211">
        <f>+C29+$N$12</f>
        <v>11.2</v>
      </c>
      <c r="D34" s="188">
        <v>0.625</v>
      </c>
      <c r="E34" s="188">
        <v>0.54700000000000004</v>
      </c>
      <c r="F34" s="36" t="s">
        <v>75</v>
      </c>
      <c r="G34" s="37">
        <v>0</v>
      </c>
      <c r="H34" s="38"/>
      <c r="I34" s="39"/>
      <c r="J34" s="40">
        <v>0.39500000000000002</v>
      </c>
      <c r="K34" s="188">
        <f t="shared" ref="K34" si="14">+IF(E34&lt;=0.12,(J36),(IF(E34&lt;0.16,((J35+2*J36+J37)/4),IF(E34&gt;=0.16,((J34+3*J35+2*J36+3*J37+J38)/10)))))</f>
        <v>0.59029999999999994</v>
      </c>
      <c r="L34" s="188">
        <f>ROUND(+(D29+D34)/2*(C34-C29),3)</f>
        <v>0.33200000000000002</v>
      </c>
      <c r="M34" s="188">
        <f t="shared" ref="M34" si="15">ROUND(+K34*L34,4)</f>
        <v>0.19600000000000001</v>
      </c>
      <c r="N34" s="191">
        <f t="shared" ref="N34" si="16">ROUND(+M34/$M$103*100,2)</f>
        <v>10.34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>
        <f t="shared" ref="G35" si="17">IF(E34&lt;0.125,"NA",IF(0.125&lt;=E34,(0.2*E34)))</f>
        <v>0.10940000000000001</v>
      </c>
      <c r="H35" s="43"/>
      <c r="I35" s="44"/>
      <c r="J35" s="45">
        <v>0.44600000000000001</v>
      </c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 t="shared" ref="G36" si="18">+E34*0.4</f>
        <v>0.21880000000000002</v>
      </c>
      <c r="H36" s="43"/>
      <c r="I36" s="44"/>
      <c r="J36" s="45">
        <v>0.64500000000000002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>
        <f t="shared" ref="G37" si="19">IF(E34&lt;0.125,"NA",IF(0.125&lt;=E34,(0.8*E34)))</f>
        <v>0.43760000000000004</v>
      </c>
      <c r="H37" s="43"/>
      <c r="I37" s="44"/>
      <c r="J37" s="45">
        <v>0.73499999999999999</v>
      </c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 t="shared" ref="G38" si="20">+E34</f>
        <v>0.54700000000000004</v>
      </c>
      <c r="H38" s="48"/>
      <c r="I38" s="49"/>
      <c r="J38" s="50">
        <v>0.67500000000000004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v>5</v>
      </c>
      <c r="C39" s="211">
        <f>+C34+$N$12</f>
        <v>11.799999999999999</v>
      </c>
      <c r="D39" s="188">
        <v>0.71</v>
      </c>
      <c r="E39" s="188">
        <v>0.67800000000000005</v>
      </c>
      <c r="F39" s="36" t="s">
        <v>75</v>
      </c>
      <c r="G39" s="37">
        <v>0</v>
      </c>
      <c r="H39" s="38"/>
      <c r="I39" s="39"/>
      <c r="J39" s="40">
        <v>0.25796000000000002</v>
      </c>
      <c r="K39" s="188">
        <f t="shared" ref="K39" si="21">+IF(E39&lt;=0.12,(J41),(IF(E39&lt;0.16,((J40+2*J41+J42)/4),IF(E39&gt;=0.16,((J39+3*J40+2*J41+3*J42+J43)/10)))))</f>
        <v>0.39398900000000003</v>
      </c>
      <c r="L39" s="188">
        <f>ROUND(+(D34+D39)/2*(C39-C34),3)</f>
        <v>0.40100000000000002</v>
      </c>
      <c r="M39" s="188">
        <f t="shared" ref="M39" si="22">ROUND(+K39*L39,4)</f>
        <v>0.158</v>
      </c>
      <c r="N39" s="191">
        <f t="shared" ref="N39" si="23">ROUND(+M39/$M$103*100,2)</f>
        <v>8.34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>
        <f t="shared" ref="G40" si="24">IF(E39&lt;0.125,"NA",IF(0.125&lt;=E39,(0.2*E39)))</f>
        <v>0.13560000000000003</v>
      </c>
      <c r="H40" s="43"/>
      <c r="I40" s="44"/>
      <c r="J40" s="45">
        <v>0.32439000000000001</v>
      </c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 t="shared" ref="G41" si="25">+E39*0.4</f>
        <v>0.27120000000000005</v>
      </c>
      <c r="H41" s="43"/>
      <c r="I41" s="44"/>
      <c r="J41" s="45">
        <v>0.34633000000000003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>
        <f t="shared" ref="G42" si="26">IF(E39&lt;0.125,"NA",IF(0.125&lt;=E39,(0.8*E39)))</f>
        <v>0.5424000000000001</v>
      </c>
      <c r="H42" s="43"/>
      <c r="I42" s="44"/>
      <c r="J42" s="45">
        <v>0.51402999999999999</v>
      </c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 t="shared" ref="G43" si="27">+E39</f>
        <v>0.67800000000000005</v>
      </c>
      <c r="H43" s="48"/>
      <c r="I43" s="49"/>
      <c r="J43" s="50">
        <v>0.47400999999999999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v>6</v>
      </c>
      <c r="C44" s="211">
        <f>+C39+$N$12</f>
        <v>12.399999999999999</v>
      </c>
      <c r="D44" s="188">
        <v>0.83</v>
      </c>
      <c r="E44" s="188">
        <v>0.86499999999999999</v>
      </c>
      <c r="F44" s="36" t="s">
        <v>75</v>
      </c>
      <c r="G44" s="37">
        <v>0</v>
      </c>
      <c r="H44" s="38"/>
      <c r="I44" s="39"/>
      <c r="J44" s="40"/>
      <c r="K44" s="188"/>
      <c r="L44" s="188"/>
      <c r="M44" s="188"/>
      <c r="N44" s="191"/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 t="shared" ref="G45" si="28">IF(E44&lt;0.125,"NA",IF(0.125&lt;=E44,(0.2*E44)))</f>
        <v>0.17300000000000001</v>
      </c>
      <c r="H45" s="43"/>
      <c r="I45" s="44"/>
      <c r="J45" s="45"/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 t="shared" ref="G46" si="29">+E44*0.4</f>
        <v>0.34600000000000003</v>
      </c>
      <c r="H46" s="43"/>
      <c r="I46" s="44"/>
      <c r="J46" s="45"/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 t="shared" ref="G47" si="30">IF(E44&lt;0.125,"NA",IF(0.125&lt;=E44,(0.8*E44)))</f>
        <v>0.69200000000000006</v>
      </c>
      <c r="H47" s="43"/>
      <c r="I47" s="44"/>
      <c r="J47" s="45"/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 t="shared" ref="G48" si="31">+E44</f>
        <v>0.86499999999999999</v>
      </c>
      <c r="H48" s="48"/>
      <c r="I48" s="49"/>
      <c r="J48" s="50"/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v>7</v>
      </c>
      <c r="C49" s="211">
        <f>+C44+$N$12</f>
        <v>12.999999999999998</v>
      </c>
      <c r="D49" s="188">
        <v>0.45400000000000001</v>
      </c>
      <c r="E49" s="188">
        <v>0.72</v>
      </c>
      <c r="F49" s="36" t="s">
        <v>75</v>
      </c>
      <c r="G49" s="37">
        <v>0</v>
      </c>
      <c r="H49" s="38"/>
      <c r="I49" s="39"/>
      <c r="J49" s="40">
        <v>0.55401000000000011</v>
      </c>
      <c r="K49" s="188">
        <f t="shared" ref="K49" si="32">+IF(E49&lt;=0.12,(J51),(IF(E49&lt;0.16,((J50+2*J51+J52)/4),IF(E49&gt;=0.16,((J49+3*J50+2*J51+3*J52+J53)/10)))))</f>
        <v>0.76687000000000005</v>
      </c>
      <c r="L49" s="188">
        <f>ROUND(+(D44+D49)/2*(C49-C44),3)</f>
        <v>0.38500000000000001</v>
      </c>
      <c r="M49" s="188">
        <f t="shared" ref="M49" si="33">ROUND(+K49*L49,4)</f>
        <v>0.29520000000000002</v>
      </c>
      <c r="N49" s="191">
        <f t="shared" ref="N49" si="34">ROUND(+M49/$M$103*100,2)</f>
        <v>15.57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 t="shared" ref="G50" si="35">IF(E49&lt;0.125,"NA",IF(0.125&lt;=E49,(0.2*E49)))</f>
        <v>0.14399999999999999</v>
      </c>
      <c r="H50" s="43"/>
      <c r="I50" s="44"/>
      <c r="J50" s="45">
        <v>0.59738999999999998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 t="shared" ref="G51" si="36">+E49*0.4</f>
        <v>0.28799999999999998</v>
      </c>
      <c r="H51" s="43"/>
      <c r="I51" s="44"/>
      <c r="J51" s="45">
        <v>0.66970000000000007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 t="shared" ref="G52" si="37">IF(E49&lt;0.125,"NA",IF(0.125&lt;=E49,(0.8*E49)))</f>
        <v>0.57599999999999996</v>
      </c>
      <c r="H52" s="43"/>
      <c r="I52" s="44"/>
      <c r="J52" s="45">
        <v>1.00292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 t="shared" ref="G53" si="38">+E49</f>
        <v>0.72</v>
      </c>
      <c r="H53" s="48"/>
      <c r="I53" s="49"/>
      <c r="J53" s="50">
        <v>0.97436000000000011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8">
        <v>8</v>
      </c>
      <c r="C54" s="211">
        <f>+C49+$N$12</f>
        <v>13.599999999999998</v>
      </c>
      <c r="D54" s="188">
        <v>0.372</v>
      </c>
      <c r="E54" s="188">
        <v>0.45600000000000002</v>
      </c>
      <c r="F54" s="36" t="s">
        <v>75</v>
      </c>
      <c r="G54" s="37">
        <v>0</v>
      </c>
      <c r="H54" s="38"/>
      <c r="I54" s="39"/>
      <c r="J54" s="40">
        <v>0.379</v>
      </c>
      <c r="K54" s="188">
        <f t="shared" ref="K54" si="39">+IF(E54&lt;=0.12,(J56),(IF(E54&lt;0.16,((J55+2*J56+J57)/4),IF(E54&gt;=0.16,((J54+3*J55+2*J56+3*J57+J58)/10)))))</f>
        <v>0.86810000000000009</v>
      </c>
      <c r="L54" s="188">
        <f>ROUND(+(D49+D54)/2*(C54-C49),3)</f>
        <v>0.248</v>
      </c>
      <c r="M54" s="188">
        <f t="shared" ref="M54" si="40">ROUND(+K54*L54,4)</f>
        <v>0.21529999999999999</v>
      </c>
      <c r="N54" s="191">
        <f t="shared" ref="N54" si="41">ROUND(+M54/$M$103*100,2)</f>
        <v>11.36</v>
      </c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>
        <f t="shared" ref="G55" si="42">IF(E54&lt;0.125,"NA",IF(0.125&lt;=E54,(0.2*E54)))</f>
        <v>9.1200000000000003E-2</v>
      </c>
      <c r="H55" s="43"/>
      <c r="I55" s="44"/>
      <c r="J55" s="45">
        <v>0.79600000000000004</v>
      </c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 t="shared" ref="G56" si="43">+E54*0.4</f>
        <v>0.18240000000000001</v>
      </c>
      <c r="H56" s="43"/>
      <c r="I56" s="44"/>
      <c r="J56" s="45">
        <v>0.89600000000000002</v>
      </c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>
        <f t="shared" ref="G57" si="44">IF(E54&lt;0.125,"NA",IF(0.125&lt;=E54,(0.8*E54)))</f>
        <v>0.36480000000000001</v>
      </c>
      <c r="H57" s="43"/>
      <c r="I57" s="44"/>
      <c r="J57" s="45">
        <v>1.038</v>
      </c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 t="shared" ref="G58" si="45">+E54</f>
        <v>0.45600000000000002</v>
      </c>
      <c r="H58" s="48"/>
      <c r="I58" s="49"/>
      <c r="J58" s="50">
        <v>1.008</v>
      </c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v>9</v>
      </c>
      <c r="C59" s="211">
        <f>+C54+$N$12</f>
        <v>14.199999999999998</v>
      </c>
      <c r="D59" s="188">
        <v>0.52200000000000002</v>
      </c>
      <c r="E59" s="188">
        <v>0.47899999999999998</v>
      </c>
      <c r="F59" s="36" t="s">
        <v>75</v>
      </c>
      <c r="G59" s="37">
        <v>0</v>
      </c>
      <c r="H59" s="38"/>
      <c r="I59" s="39"/>
      <c r="J59" s="40">
        <v>0.39900000000000002</v>
      </c>
      <c r="K59" s="188">
        <f t="shared" ref="K59" si="46">+IF(E59&lt;=0.12,(J61),(IF(E59&lt;0.16,((J60+2*J61+J62)/4),IF(E59&gt;=0.16,((J59+3*J60+2*J61+3*J62+J63)/10)))))</f>
        <v>0.68169999999999997</v>
      </c>
      <c r="L59" s="188">
        <f>ROUND(+(D54+D59)/2*(C59-C54),3)</f>
        <v>0.26800000000000002</v>
      </c>
      <c r="M59" s="188">
        <f t="shared" ref="M59" si="47">ROUND(+K59*L59,4)</f>
        <v>0.1827</v>
      </c>
      <c r="N59" s="191">
        <f t="shared" ref="N59" si="48">ROUND(+M59/$M$103*100,2)</f>
        <v>9.64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 t="shared" ref="G60" si="49">IF(E59&lt;0.125,"NA",IF(0.125&lt;=E59,(0.2*E59)))</f>
        <v>9.5799999999999996E-2</v>
      </c>
      <c r="H60" s="43"/>
      <c r="I60" s="44"/>
      <c r="J60" s="45">
        <v>0.57599999999999996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 t="shared" ref="G61" si="50">+E59*0.4</f>
        <v>0.19159999999999999</v>
      </c>
      <c r="H61" s="43"/>
      <c r="I61" s="44"/>
      <c r="J61" s="45">
        <v>0.67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 t="shared" ref="G62" si="51">IF(E59&lt;0.125,"NA",IF(0.125&lt;=E59,(0.8*E59)))</f>
        <v>0.38319999999999999</v>
      </c>
      <c r="H62" s="43"/>
      <c r="I62" s="44"/>
      <c r="J62" s="45">
        <v>0.78400000000000003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 t="shared" ref="G63" si="52">+E59</f>
        <v>0.47899999999999998</v>
      </c>
      <c r="H63" s="48"/>
      <c r="I63" s="49"/>
      <c r="J63" s="50">
        <v>0.998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v>10</v>
      </c>
      <c r="C64" s="211">
        <f>+C59+$N$12</f>
        <v>14.799999999999997</v>
      </c>
      <c r="D64" s="188">
        <v>0.54</v>
      </c>
      <c r="E64" s="188">
        <v>0.50700000000000001</v>
      </c>
      <c r="F64" s="36" t="s">
        <v>75</v>
      </c>
      <c r="G64" s="37">
        <v>0</v>
      </c>
      <c r="H64" s="38"/>
      <c r="I64" s="39"/>
      <c r="J64" s="40">
        <v>0.20599999999999999</v>
      </c>
      <c r="K64" s="188">
        <f t="shared" ref="K64" si="53">+IF(E64&lt;=0.12,(J66),(IF(E64&lt;0.16,((J65+2*J66+J67)/4),IF(E64&gt;=0.16,((J64+3*J65+2*J66+3*J67+J68)/10)))))</f>
        <v>0.61050000000000004</v>
      </c>
      <c r="L64" s="188">
        <f t="shared" ref="L64" si="54">ROUND(+(D59+D64)/2*(C64-C59),3)</f>
        <v>0.31900000000000001</v>
      </c>
      <c r="M64" s="188">
        <f t="shared" ref="M64" si="55">ROUND(+K64*L64,4)</f>
        <v>0.19470000000000001</v>
      </c>
      <c r="N64" s="191">
        <f t="shared" ref="N64" si="56">ROUND(+M64/$M$103*100,2)</f>
        <v>10.27</v>
      </c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 t="shared" ref="G65" si="57">IF(E64&lt;0.125,"NA",IF(0.125&lt;=E64,(0.2*E64)))</f>
        <v>0.1014</v>
      </c>
      <c r="H65" s="43"/>
      <c r="I65" s="44"/>
      <c r="J65" s="45">
        <v>0.32700000000000001</v>
      </c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 t="shared" ref="G66" si="58">+E64*0.4</f>
        <v>0.20280000000000001</v>
      </c>
      <c r="H66" s="43"/>
      <c r="I66" s="44"/>
      <c r="J66" s="45">
        <v>0.626</v>
      </c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 t="shared" ref="G67" si="59">IF(E64&lt;0.125,"NA",IF(0.125&lt;=E64,(0.8*E64)))</f>
        <v>0.40560000000000002</v>
      </c>
      <c r="H67" s="43"/>
      <c r="I67" s="44"/>
      <c r="J67" s="45">
        <v>0.84799999999999998</v>
      </c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 t="shared" ref="G68" si="60">+E64</f>
        <v>0.50700000000000001</v>
      </c>
      <c r="H68" s="48"/>
      <c r="I68" s="49"/>
      <c r="J68" s="50">
        <v>1.1220000000000001</v>
      </c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v>11</v>
      </c>
      <c r="C69" s="211">
        <f>+C64+$N$12</f>
        <v>15.399999999999997</v>
      </c>
      <c r="D69" s="188">
        <v>0.25900000000000001</v>
      </c>
      <c r="E69" s="188">
        <v>0.49199999999999999</v>
      </c>
      <c r="F69" s="36" t="s">
        <v>75</v>
      </c>
      <c r="G69" s="37">
        <v>0</v>
      </c>
      <c r="H69" s="38"/>
      <c r="I69" s="39"/>
      <c r="J69" s="40">
        <v>0.14599999999999999</v>
      </c>
      <c r="K69" s="188">
        <f t="shared" ref="K69" si="61">+IF(E69&lt;=0.12,(J71),(IF(E69&lt;0.16,((J70+2*J71+J72)/4),IF(E69&gt;=0.16,((J69+3*J70+2*J71+3*J72+J73)/10)))))</f>
        <v>0.33389999999999997</v>
      </c>
      <c r="L69" s="188">
        <f>ROUND(+(D64+D69)/2*(C69-C64),3)</f>
        <v>0.24</v>
      </c>
      <c r="M69" s="188">
        <f t="shared" ref="M69" si="62">ROUND(+K69*L69,4)</f>
        <v>8.0100000000000005E-2</v>
      </c>
      <c r="N69" s="191">
        <f t="shared" ref="N69" si="63">ROUND(+M69/$M$103*100,2)</f>
        <v>4.2300000000000004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>
        <f t="shared" ref="G70" si="64">IF(E69&lt;0.125,"NA",IF(0.125&lt;=E69,(0.2*E69)))</f>
        <v>9.8400000000000001E-2</v>
      </c>
      <c r="H70" s="43"/>
      <c r="I70" s="44"/>
      <c r="J70" s="45">
        <v>0.154</v>
      </c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 t="shared" ref="G71" si="65">+E69*0.4</f>
        <v>0.1968</v>
      </c>
      <c r="H71" s="43"/>
      <c r="I71" s="44"/>
      <c r="J71" s="45">
        <v>0.246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>
        <f t="shared" ref="G72" si="66">IF(E69&lt;0.125,"NA",IF(0.125&lt;=E69,(0.8*E69)))</f>
        <v>0.39360000000000001</v>
      </c>
      <c r="H72" s="43"/>
      <c r="I72" s="44"/>
      <c r="J72" s="45">
        <v>0.57099999999999995</v>
      </c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 t="shared" ref="G73" si="67">+E69</f>
        <v>0.49199999999999999</v>
      </c>
      <c r="H73" s="48"/>
      <c r="I73" s="49"/>
      <c r="J73" s="50">
        <v>0.52600000000000002</v>
      </c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8">
        <v>12</v>
      </c>
      <c r="C74" s="211">
        <f>+C69+$N$12</f>
        <v>15.999999999999996</v>
      </c>
      <c r="D74" s="188">
        <v>0.17199999999999999</v>
      </c>
      <c r="E74" s="188">
        <v>0.29899999999999999</v>
      </c>
      <c r="F74" s="36" t="s">
        <v>75</v>
      </c>
      <c r="G74" s="37">
        <v>0</v>
      </c>
      <c r="H74" s="38"/>
      <c r="I74" s="39"/>
      <c r="J74" s="40">
        <v>5.5E-2</v>
      </c>
      <c r="K74" s="188">
        <f t="shared" ref="K74" si="68">+IF(E74&lt;=0.12,(J76),(IF(E74&lt;0.16,((J75+2*J76+J77)/4),IF(E74&gt;=0.16,((J74+3*J75+2*J76+3*J77+J78)/10)))))</f>
        <v>0.21260000000000004</v>
      </c>
      <c r="L74" s="188">
        <f>ROUND(+(D69+D74)/2*(C74-C69),3)</f>
        <v>0.129</v>
      </c>
      <c r="M74" s="188">
        <f t="shared" ref="M74" si="69">ROUND(+K74*L74,4)</f>
        <v>2.7400000000000001E-2</v>
      </c>
      <c r="N74" s="191">
        <f t="shared" ref="N74" si="70">ROUND(+M74/$M$103*100,2)</f>
        <v>1.45</v>
      </c>
      <c r="O74" s="192"/>
      <c r="P74" s="19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09"/>
      <c r="C75" s="189"/>
      <c r="D75" s="189"/>
      <c r="E75" s="189"/>
      <c r="F75" s="41" t="s">
        <v>76</v>
      </c>
      <c r="G75" s="42">
        <f t="shared" ref="G75" si="71">IF(E74&lt;0.125,"NA",IF(0.125&lt;=E74,(0.2*E74)))</f>
        <v>5.9799999999999999E-2</v>
      </c>
      <c r="H75" s="43"/>
      <c r="I75" s="44"/>
      <c r="J75" s="45">
        <v>0.21099999999999999</v>
      </c>
      <c r="K75" s="189"/>
      <c r="L75" s="189"/>
      <c r="M75" s="189"/>
      <c r="N75" s="189"/>
      <c r="O75" s="189"/>
      <c r="P75" s="19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09"/>
      <c r="C76" s="189"/>
      <c r="D76" s="189"/>
      <c r="E76" s="189"/>
      <c r="F76" s="41" t="s">
        <v>77</v>
      </c>
      <c r="G76" s="42">
        <f t="shared" ref="G76" si="72">+E74*0.4</f>
        <v>0.1196</v>
      </c>
      <c r="H76" s="43"/>
      <c r="I76" s="44"/>
      <c r="J76" s="45">
        <v>0.316</v>
      </c>
      <c r="K76" s="189"/>
      <c r="L76" s="189"/>
      <c r="M76" s="189"/>
      <c r="N76" s="189"/>
      <c r="O76" s="189"/>
      <c r="P76" s="19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09"/>
      <c r="C77" s="189"/>
      <c r="D77" s="189"/>
      <c r="E77" s="189"/>
      <c r="F77" s="41" t="s">
        <v>78</v>
      </c>
      <c r="G77" s="42">
        <f t="shared" ref="G77" si="73">IF(E74&lt;0.125,"NA",IF(0.125&lt;=E74,(0.8*E74)))</f>
        <v>0.2392</v>
      </c>
      <c r="H77" s="43"/>
      <c r="I77" s="44"/>
      <c r="J77" s="45">
        <v>0.22700000000000001</v>
      </c>
      <c r="K77" s="189"/>
      <c r="L77" s="189"/>
      <c r="M77" s="189"/>
      <c r="N77" s="189"/>
      <c r="O77" s="189"/>
      <c r="P77" s="19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0"/>
      <c r="C78" s="190"/>
      <c r="D78" s="190"/>
      <c r="E78" s="190"/>
      <c r="F78" s="46" t="s">
        <v>79</v>
      </c>
      <c r="G78" s="47">
        <f t="shared" ref="G78" si="74">+E74</f>
        <v>0.29899999999999999</v>
      </c>
      <c r="H78" s="48"/>
      <c r="I78" s="49"/>
      <c r="J78" s="50">
        <v>0.125</v>
      </c>
      <c r="K78" s="190"/>
      <c r="L78" s="190"/>
      <c r="M78" s="190"/>
      <c r="N78" s="190"/>
      <c r="O78" s="190"/>
      <c r="P78" s="19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8">
        <v>13</v>
      </c>
      <c r="C79" s="211">
        <v>16.399999999999999</v>
      </c>
      <c r="D79" s="188">
        <v>0.1</v>
      </c>
      <c r="E79" s="188">
        <v>0.11</v>
      </c>
      <c r="F79" s="36" t="s">
        <v>75</v>
      </c>
      <c r="G79" s="37">
        <v>0</v>
      </c>
      <c r="H79" s="38"/>
      <c r="I79" s="39"/>
      <c r="J79" s="40">
        <v>1.0999999999999999E-2</v>
      </c>
      <c r="K79" s="188">
        <f t="shared" ref="K79" si="75">+IF(E79&lt;=0.12,(J81),(IF(E79&lt;0.16,((J80+2*J81+J82)/4),IF(E79&gt;=0.16,((J79+3*J80+2*J81+3*J82+J83)/10)))))</f>
        <v>0.01</v>
      </c>
      <c r="L79" s="188">
        <f>ROUND(+(D74+D79)/2*(C79-C74),3)</f>
        <v>5.3999999999999999E-2</v>
      </c>
      <c r="M79" s="188">
        <f t="shared" ref="M79" si="76">ROUND(+K79*L79,4)</f>
        <v>5.0000000000000001E-4</v>
      </c>
      <c r="N79" s="191">
        <f t="shared" ref="N79" si="77">ROUND(+M79/$M$103*100,2)</f>
        <v>0.03</v>
      </c>
      <c r="O79" s="192"/>
      <c r="P79" s="19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09"/>
      <c r="C80" s="189"/>
      <c r="D80" s="189"/>
      <c r="E80" s="189"/>
      <c r="F80" s="41" t="s">
        <v>76</v>
      </c>
      <c r="G80" s="42" t="str">
        <f t="shared" ref="G80" si="78">IF(E79&lt;0.125,"NA",IF(0.125&lt;=E79,(0.2*E79)))</f>
        <v>NA</v>
      </c>
      <c r="H80" s="43"/>
      <c r="I80" s="44"/>
      <c r="J80" s="45"/>
      <c r="K80" s="189"/>
      <c r="L80" s="189"/>
      <c r="M80" s="189"/>
      <c r="N80" s="189"/>
      <c r="O80" s="189"/>
      <c r="P80" s="19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09"/>
      <c r="C81" s="189"/>
      <c r="D81" s="189"/>
      <c r="E81" s="189"/>
      <c r="F81" s="41" t="s">
        <v>77</v>
      </c>
      <c r="G81" s="42">
        <f t="shared" ref="G81" si="79">+E79*0.4</f>
        <v>4.4000000000000004E-2</v>
      </c>
      <c r="H81" s="43"/>
      <c r="I81" s="44"/>
      <c r="J81" s="45">
        <v>0.01</v>
      </c>
      <c r="K81" s="189"/>
      <c r="L81" s="189"/>
      <c r="M81" s="189"/>
      <c r="N81" s="189"/>
      <c r="O81" s="189"/>
      <c r="P81" s="19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09"/>
      <c r="C82" s="189"/>
      <c r="D82" s="189"/>
      <c r="E82" s="189"/>
      <c r="F82" s="41" t="s">
        <v>78</v>
      </c>
      <c r="G82" s="42" t="str">
        <f t="shared" ref="G82" si="80">IF(E79&lt;0.125,"NA",IF(0.125&lt;=E79,(0.8*E79)))</f>
        <v>NA</v>
      </c>
      <c r="H82" s="43"/>
      <c r="I82" s="44"/>
      <c r="J82" s="45"/>
      <c r="K82" s="189"/>
      <c r="L82" s="189"/>
      <c r="M82" s="189"/>
      <c r="N82" s="189"/>
      <c r="O82" s="189"/>
      <c r="P82" s="19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0"/>
      <c r="C83" s="190"/>
      <c r="D83" s="190"/>
      <c r="E83" s="190"/>
      <c r="F83" s="46" t="s">
        <v>79</v>
      </c>
      <c r="G83" s="47">
        <f t="shared" ref="G83" si="81">+E79</f>
        <v>0.11</v>
      </c>
      <c r="H83" s="48"/>
      <c r="I83" s="49"/>
      <c r="J83" s="50">
        <v>1.4E-2</v>
      </c>
      <c r="K83" s="190"/>
      <c r="L83" s="190"/>
      <c r="M83" s="190"/>
      <c r="N83" s="190"/>
      <c r="O83" s="190"/>
      <c r="P83" s="19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" customFormat="1" ht="13.5" customHeight="1" x14ac:dyDescent="0.2">
      <c r="B84" s="196" t="s">
        <v>28</v>
      </c>
      <c r="C84" s="199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1"/>
    </row>
    <row r="85" spans="1:26" s="3" customFormat="1" ht="14.1" customHeight="1" x14ac:dyDescent="0.2">
      <c r="B85" s="197"/>
      <c r="C85" s="202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4"/>
    </row>
    <row r="86" spans="1:26" s="3" customFormat="1" ht="14.1" customHeight="1" x14ac:dyDescent="0.2">
      <c r="B86" s="197"/>
      <c r="C86" s="202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4"/>
    </row>
    <row r="87" spans="1:26" s="3" customFormat="1" ht="14.1" customHeight="1" x14ac:dyDescent="0.2">
      <c r="B87" s="197"/>
      <c r="C87" s="202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4"/>
    </row>
    <row r="88" spans="1:26" s="3" customFormat="1" ht="14.1" customHeight="1" x14ac:dyDescent="0.2">
      <c r="B88" s="197"/>
      <c r="C88" s="202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4"/>
    </row>
    <row r="89" spans="1:26" s="3" customFormat="1" ht="14.1" customHeight="1" thickBot="1" x14ac:dyDescent="0.25">
      <c r="B89" s="198"/>
      <c r="C89" s="205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7"/>
    </row>
    <row r="90" spans="1:26" s="3" customFormat="1" ht="28.5" customHeight="1" thickBot="1" x14ac:dyDescent="0.25">
      <c r="A90" s="51"/>
      <c r="B90" s="52" t="s">
        <v>80</v>
      </c>
      <c r="C90" s="175" t="s">
        <v>81</v>
      </c>
      <c r="D90" s="175"/>
      <c r="E90" s="175"/>
      <c r="F90" s="175"/>
      <c r="G90" s="175"/>
      <c r="H90" s="176"/>
      <c r="I90" s="177"/>
      <c r="J90" s="52" t="s">
        <v>82</v>
      </c>
      <c r="K90" s="175" t="s">
        <v>83</v>
      </c>
      <c r="L90" s="175"/>
      <c r="M90" s="175"/>
      <c r="N90" s="175"/>
      <c r="O90" s="175"/>
      <c r="P90" s="176"/>
    </row>
    <row r="91" spans="1:26" s="3" customFormat="1" ht="28.5" customHeight="1" thickBot="1" x14ac:dyDescent="0.25">
      <c r="B91" s="53" t="s">
        <v>84</v>
      </c>
      <c r="C91" s="179" t="s">
        <v>85</v>
      </c>
      <c r="D91" s="179"/>
      <c r="E91" s="179"/>
      <c r="F91" s="179"/>
      <c r="G91" s="179"/>
      <c r="H91" s="180"/>
      <c r="I91" s="178"/>
      <c r="J91" s="53" t="s">
        <v>86</v>
      </c>
      <c r="K91" s="179" t="s">
        <v>87</v>
      </c>
      <c r="L91" s="179"/>
      <c r="M91" s="179"/>
      <c r="N91" s="179"/>
      <c r="O91" s="179"/>
      <c r="P91" s="180"/>
    </row>
    <row r="92" spans="1:26" s="91" customFormat="1" ht="13.5" customHeight="1" x14ac:dyDescent="0.25">
      <c r="A92" s="54"/>
      <c r="B92" s="181">
        <v>6</v>
      </c>
      <c r="C92" s="184">
        <f>+C39</f>
        <v>11.799999999999999</v>
      </c>
      <c r="D92" s="186">
        <f>+D39</f>
        <v>0.71</v>
      </c>
      <c r="E92" s="186">
        <f>+E44</f>
        <v>0.86499999999999999</v>
      </c>
      <c r="F92" s="55" t="s">
        <v>75</v>
      </c>
      <c r="G92" s="55">
        <v>0.01</v>
      </c>
      <c r="H92" s="56"/>
      <c r="I92" s="57"/>
      <c r="J92" s="58">
        <v>0.49199999999999999</v>
      </c>
      <c r="K92" s="187">
        <f>+AVERAGE(J92:J102)</f>
        <v>0.73053818181818186</v>
      </c>
      <c r="L92" s="166">
        <f>ROUND(+(D92+D97)/2*(C97-C92),3)</f>
        <v>0.46200000000000002</v>
      </c>
      <c r="M92" s="169">
        <f>ROUND(+K92*L92,4)</f>
        <v>0.33750000000000002</v>
      </c>
      <c r="N92" s="166">
        <f>ROUND(+M92/$M$103*100,2)</f>
        <v>17.809999999999999</v>
      </c>
      <c r="O92" s="166"/>
      <c r="P92" s="170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91" customFormat="1" ht="13.5" customHeight="1" x14ac:dyDescent="0.25">
      <c r="A93" s="54"/>
      <c r="B93" s="182"/>
      <c r="C93" s="167"/>
      <c r="D93" s="167"/>
      <c r="E93" s="167"/>
      <c r="F93" s="60" t="s">
        <v>88</v>
      </c>
      <c r="G93" s="61">
        <f>+E92*0.1</f>
        <v>8.6500000000000007E-2</v>
      </c>
      <c r="H93" s="62"/>
      <c r="I93" s="63"/>
      <c r="J93" s="64">
        <v>0.51600000000000001</v>
      </c>
      <c r="K93" s="167"/>
      <c r="L93" s="167"/>
      <c r="M93" s="167"/>
      <c r="N93" s="167"/>
      <c r="O93" s="167"/>
      <c r="P93" s="171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s="91" customFormat="1" ht="13.5" customHeight="1" x14ac:dyDescent="0.25">
      <c r="A94" s="54"/>
      <c r="B94" s="182"/>
      <c r="C94" s="167"/>
      <c r="D94" s="167"/>
      <c r="E94" s="167"/>
      <c r="F94" s="60" t="s">
        <v>89</v>
      </c>
      <c r="G94" s="61">
        <f>+E92*0.2</f>
        <v>0.17300000000000001</v>
      </c>
      <c r="H94" s="62"/>
      <c r="I94" s="63"/>
      <c r="J94" s="64">
        <v>0.55000000000000004</v>
      </c>
      <c r="K94" s="167"/>
      <c r="L94" s="167"/>
      <c r="M94" s="167"/>
      <c r="N94" s="167"/>
      <c r="O94" s="167"/>
      <c r="P94" s="171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s="91" customFormat="1" ht="13.5" customHeight="1" x14ac:dyDescent="0.25">
      <c r="A95" s="54"/>
      <c r="B95" s="182"/>
      <c r="C95" s="167"/>
      <c r="D95" s="167"/>
      <c r="E95" s="167"/>
      <c r="F95" s="60" t="s">
        <v>90</v>
      </c>
      <c r="G95" s="61">
        <f>+E92*0.3</f>
        <v>0.25950000000000001</v>
      </c>
      <c r="H95" s="62"/>
      <c r="I95" s="63"/>
      <c r="J95" s="64">
        <v>0.55400000000000005</v>
      </c>
      <c r="K95" s="167"/>
      <c r="L95" s="167"/>
      <c r="M95" s="167"/>
      <c r="N95" s="167"/>
      <c r="O95" s="167"/>
      <c r="P95" s="171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s="91" customFormat="1" ht="13.5" customHeight="1" x14ac:dyDescent="0.25">
      <c r="A96" s="54"/>
      <c r="B96" s="182"/>
      <c r="C96" s="185"/>
      <c r="D96" s="185"/>
      <c r="E96" s="167"/>
      <c r="F96" s="60" t="s">
        <v>91</v>
      </c>
      <c r="G96" s="61">
        <f>+E92*0.4</f>
        <v>0.34600000000000003</v>
      </c>
      <c r="H96" s="62"/>
      <c r="I96" s="63"/>
      <c r="J96" s="64">
        <v>0.63300000000000001</v>
      </c>
      <c r="K96" s="167"/>
      <c r="L96" s="167"/>
      <c r="M96" s="167"/>
      <c r="N96" s="167"/>
      <c r="O96" s="167"/>
      <c r="P96" s="171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s="91" customFormat="1" ht="13.5" customHeight="1" x14ac:dyDescent="0.25">
      <c r="A97" s="54"/>
      <c r="B97" s="182"/>
      <c r="C97" s="173">
        <f>+C44</f>
        <v>12.399999999999999</v>
      </c>
      <c r="D97" s="174">
        <f>+D44</f>
        <v>0.83</v>
      </c>
      <c r="E97" s="167"/>
      <c r="F97" s="60" t="s">
        <v>29</v>
      </c>
      <c r="G97" s="61">
        <f>+E92*0.5</f>
        <v>0.4325</v>
      </c>
      <c r="H97" s="62"/>
      <c r="I97" s="63"/>
      <c r="J97" s="64">
        <v>0.63099000000000005</v>
      </c>
      <c r="K97" s="167"/>
      <c r="L97" s="167"/>
      <c r="M97" s="167"/>
      <c r="N97" s="167"/>
      <c r="O97" s="167"/>
      <c r="P97" s="171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s="91" customFormat="1" ht="13.5" customHeight="1" x14ac:dyDescent="0.25">
      <c r="A98" s="54"/>
      <c r="B98" s="182"/>
      <c r="C98" s="167"/>
      <c r="D98" s="167"/>
      <c r="E98" s="167"/>
      <c r="F98" s="60" t="s">
        <v>92</v>
      </c>
      <c r="G98" s="61">
        <f>+E92*0.6</f>
        <v>0.51900000000000002</v>
      </c>
      <c r="H98" s="62"/>
      <c r="I98" s="63"/>
      <c r="J98" s="64">
        <v>0.87561</v>
      </c>
      <c r="K98" s="167"/>
      <c r="L98" s="167"/>
      <c r="M98" s="167"/>
      <c r="N98" s="167"/>
      <c r="O98" s="167"/>
      <c r="P98" s="171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s="91" customFormat="1" ht="13.5" customHeight="1" x14ac:dyDescent="0.25">
      <c r="A99" s="54"/>
      <c r="B99" s="182"/>
      <c r="C99" s="167"/>
      <c r="D99" s="167"/>
      <c r="E99" s="167"/>
      <c r="F99" s="60" t="s">
        <v>93</v>
      </c>
      <c r="G99" s="61">
        <f>+E92*0.7</f>
        <v>0.60549999999999993</v>
      </c>
      <c r="H99" s="62"/>
      <c r="I99" s="63"/>
      <c r="J99" s="64">
        <v>0.91529999999999989</v>
      </c>
      <c r="K99" s="167"/>
      <c r="L99" s="167"/>
      <c r="M99" s="167"/>
      <c r="N99" s="167"/>
      <c r="O99" s="167"/>
      <c r="P99" s="171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s="91" customFormat="1" ht="13.5" customHeight="1" x14ac:dyDescent="0.25">
      <c r="A100" s="54"/>
      <c r="B100" s="182"/>
      <c r="C100" s="167"/>
      <c r="D100" s="167"/>
      <c r="E100" s="167"/>
      <c r="F100" s="60" t="s">
        <v>94</v>
      </c>
      <c r="G100" s="61">
        <f>+E92*0.8</f>
        <v>0.69200000000000006</v>
      </c>
      <c r="H100" s="62"/>
      <c r="I100" s="63"/>
      <c r="J100" s="64">
        <v>0.94607999999999992</v>
      </c>
      <c r="K100" s="167"/>
      <c r="L100" s="167"/>
      <c r="M100" s="167"/>
      <c r="N100" s="167"/>
      <c r="O100" s="167"/>
      <c r="P100" s="171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s="91" customFormat="1" ht="13.5" customHeight="1" x14ac:dyDescent="0.25">
      <c r="A101" s="54"/>
      <c r="B101" s="182"/>
      <c r="C101" s="167"/>
      <c r="D101" s="167"/>
      <c r="E101" s="167"/>
      <c r="F101" s="60" t="s">
        <v>95</v>
      </c>
      <c r="G101" s="61">
        <f>+E92*0.9</f>
        <v>0.77849999999999997</v>
      </c>
      <c r="H101" s="62"/>
      <c r="I101" s="63"/>
      <c r="J101" s="64">
        <v>1.0076399999999999</v>
      </c>
      <c r="K101" s="167"/>
      <c r="L101" s="167"/>
      <c r="M101" s="167"/>
      <c r="N101" s="167"/>
      <c r="O101" s="167"/>
      <c r="P101" s="171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s="91" customFormat="1" ht="15.75" thickBot="1" x14ac:dyDescent="0.3">
      <c r="A102" s="54"/>
      <c r="B102" s="183"/>
      <c r="C102" s="168"/>
      <c r="D102" s="168"/>
      <c r="E102" s="168"/>
      <c r="F102" s="65" t="s">
        <v>30</v>
      </c>
      <c r="G102" s="65">
        <f>+E92</f>
        <v>0.86499999999999999</v>
      </c>
      <c r="H102" s="66"/>
      <c r="I102" s="67"/>
      <c r="J102" s="68">
        <v>0.91529999999999989</v>
      </c>
      <c r="K102" s="168"/>
      <c r="L102" s="168"/>
      <c r="M102" s="168"/>
      <c r="N102" s="168"/>
      <c r="O102" s="168"/>
      <c r="P102" s="172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s="3" customFormat="1" ht="12.75" x14ac:dyDescent="0.2">
      <c r="A103" s="8"/>
      <c r="B103" s="154" t="s">
        <v>103</v>
      </c>
      <c r="C103" s="154"/>
      <c r="D103" s="154"/>
      <c r="E103" s="154"/>
      <c r="F103" s="154"/>
      <c r="G103" s="154"/>
      <c r="H103" s="154"/>
      <c r="I103" s="154"/>
      <c r="J103" s="154"/>
      <c r="K103" s="13">
        <f>ROUND(+M103/L103,3)</f>
        <v>0.52300000000000002</v>
      </c>
      <c r="L103" s="12">
        <f>SUM(L19:L102)</f>
        <v>3.6240000000000001</v>
      </c>
      <c r="M103" s="11">
        <f>SUM(M19:M102)</f>
        <v>1.8955000000000002</v>
      </c>
      <c r="N103" s="9">
        <f>ROUND(SUM(N19:N102),0)</f>
        <v>100</v>
      </c>
      <c r="O103" s="156" t="s">
        <v>31</v>
      </c>
      <c r="P103" s="158"/>
    </row>
    <row r="104" spans="1:26" s="3" customFormat="1" ht="15" customHeight="1" thickBot="1" x14ac:dyDescent="0.25">
      <c r="A104" s="8"/>
      <c r="B104" s="155"/>
      <c r="C104" s="155"/>
      <c r="D104" s="155"/>
      <c r="E104" s="155"/>
      <c r="F104" s="155"/>
      <c r="G104" s="155"/>
      <c r="H104" s="155"/>
      <c r="I104" s="155"/>
      <c r="J104" s="155"/>
      <c r="K104" s="10" t="s">
        <v>32</v>
      </c>
      <c r="L104" s="10" t="s">
        <v>48</v>
      </c>
      <c r="M104" s="10" t="s">
        <v>100</v>
      </c>
      <c r="N104" s="10" t="s">
        <v>33</v>
      </c>
      <c r="O104" s="157"/>
      <c r="P104" s="159"/>
    </row>
    <row r="105" spans="1:26" ht="15" customHeight="1" thickBot="1" x14ac:dyDescent="0.3">
      <c r="A105" s="93"/>
      <c r="B105" s="160" t="s">
        <v>96</v>
      </c>
      <c r="C105" s="161"/>
      <c r="D105" s="161"/>
      <c r="E105" s="161"/>
      <c r="F105" s="162"/>
      <c r="G105" s="160" t="s">
        <v>97</v>
      </c>
      <c r="H105" s="161"/>
      <c r="I105" s="161"/>
      <c r="J105" s="161"/>
      <c r="K105" s="162"/>
      <c r="L105" s="163" t="s">
        <v>49</v>
      </c>
      <c r="M105" s="164"/>
      <c r="N105" s="164"/>
      <c r="O105" s="164"/>
      <c r="P105" s="165"/>
    </row>
    <row r="106" spans="1:26" ht="15" customHeight="1" x14ac:dyDescent="0.25">
      <c r="A106" s="93"/>
      <c r="B106" s="124"/>
      <c r="C106" s="125"/>
      <c r="D106" s="125"/>
      <c r="E106" s="125"/>
      <c r="F106" s="126"/>
      <c r="G106" s="124"/>
      <c r="H106" s="125"/>
      <c r="I106" s="125"/>
      <c r="J106" s="125"/>
      <c r="K106" s="126"/>
      <c r="L106" s="133" t="s">
        <v>98</v>
      </c>
      <c r="M106" s="134"/>
      <c r="N106" s="134"/>
      <c r="O106" s="135">
        <f>+AVERAGE(E18:E83)</f>
        <v>0.50084615384615394</v>
      </c>
      <c r="P106" s="136"/>
    </row>
    <row r="107" spans="1:26" ht="15" customHeight="1" thickBot="1" x14ac:dyDescent="0.3">
      <c r="A107" s="93"/>
      <c r="B107" s="127"/>
      <c r="C107" s="128"/>
      <c r="D107" s="128"/>
      <c r="E107" s="128"/>
      <c r="F107" s="129"/>
      <c r="G107" s="127"/>
      <c r="H107" s="128"/>
      <c r="I107" s="128"/>
      <c r="J107" s="128"/>
      <c r="K107" s="129"/>
      <c r="L107" s="137" t="s">
        <v>99</v>
      </c>
      <c r="M107" s="138"/>
      <c r="N107" s="138"/>
      <c r="O107" s="139">
        <f>MAX(E18:E83)</f>
        <v>0.86499999999999999</v>
      </c>
      <c r="P107" s="140"/>
    </row>
    <row r="108" spans="1:26" ht="18.600000000000001" customHeight="1" x14ac:dyDescent="0.25">
      <c r="A108" s="94"/>
      <c r="B108" s="127"/>
      <c r="C108" s="128"/>
      <c r="D108" s="128"/>
      <c r="E108" s="128"/>
      <c r="F108" s="129"/>
      <c r="G108" s="127"/>
      <c r="H108" s="128"/>
      <c r="I108" s="128"/>
      <c r="J108" s="128"/>
      <c r="K108" s="129"/>
      <c r="L108" s="141" t="s">
        <v>109</v>
      </c>
      <c r="M108" s="142"/>
      <c r="N108" s="142"/>
      <c r="O108" s="142"/>
      <c r="P108" s="143"/>
    </row>
    <row r="109" spans="1:26" ht="42" customHeight="1" x14ac:dyDescent="0.25">
      <c r="A109" s="95"/>
      <c r="B109" s="127"/>
      <c r="C109" s="128"/>
      <c r="D109" s="128"/>
      <c r="E109" s="128"/>
      <c r="F109" s="129"/>
      <c r="G109" s="127"/>
      <c r="H109" s="128"/>
      <c r="I109" s="128"/>
      <c r="J109" s="128"/>
      <c r="K109" s="129"/>
      <c r="L109" s="144"/>
      <c r="M109" s="145"/>
      <c r="N109" s="145"/>
      <c r="O109" s="145"/>
      <c r="P109" s="146"/>
    </row>
    <row r="110" spans="1:26" ht="15" customHeight="1" thickBot="1" x14ac:dyDescent="0.3">
      <c r="A110" s="93"/>
      <c r="B110" s="127"/>
      <c r="C110" s="128"/>
      <c r="D110" s="128"/>
      <c r="E110" s="128"/>
      <c r="F110" s="129"/>
      <c r="G110" s="127"/>
      <c r="H110" s="128"/>
      <c r="I110" s="128"/>
      <c r="J110" s="128"/>
      <c r="K110" s="129"/>
      <c r="L110" s="147"/>
      <c r="M110" s="148"/>
      <c r="N110" s="148"/>
      <c r="O110" s="148"/>
      <c r="P110" s="149"/>
    </row>
    <row r="111" spans="1:26" ht="22.5" customHeight="1" thickBot="1" x14ac:dyDescent="0.3">
      <c r="A111" s="93"/>
      <c r="B111" s="127"/>
      <c r="C111" s="128"/>
      <c r="D111" s="128"/>
      <c r="E111" s="128"/>
      <c r="F111" s="129"/>
      <c r="G111" s="127"/>
      <c r="H111" s="128"/>
      <c r="I111" s="128"/>
      <c r="J111" s="128"/>
      <c r="K111" s="129"/>
      <c r="L111" s="150" t="s">
        <v>34</v>
      </c>
      <c r="M111" s="151"/>
      <c r="N111" s="151"/>
      <c r="O111" s="151"/>
      <c r="P111" s="90">
        <v>8.4</v>
      </c>
    </row>
    <row r="112" spans="1:26" ht="32.25" customHeight="1" thickBot="1" x14ac:dyDescent="0.3">
      <c r="A112" s="93"/>
      <c r="B112" s="130"/>
      <c r="C112" s="131"/>
      <c r="D112" s="131"/>
      <c r="E112" s="131"/>
      <c r="F112" s="132"/>
      <c r="G112" s="130"/>
      <c r="H112" s="131"/>
      <c r="I112" s="131"/>
      <c r="J112" s="131"/>
      <c r="K112" s="132"/>
      <c r="L112" s="152" t="s">
        <v>102</v>
      </c>
      <c r="M112" s="153"/>
      <c r="N112" s="153"/>
      <c r="O112" s="153"/>
      <c r="P112" s="90" t="s">
        <v>110</v>
      </c>
    </row>
    <row r="113" spans="1:16" ht="23.45" customHeight="1" thickBot="1" x14ac:dyDescent="0.3">
      <c r="A113" s="5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</row>
    <row r="114" spans="1:16" ht="15.75" thickBot="1" x14ac:dyDescent="0.3">
      <c r="A114" s="115" t="s">
        <v>35</v>
      </c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7"/>
    </row>
    <row r="115" spans="1:16" ht="168" customHeight="1" thickBot="1" x14ac:dyDescent="0.3">
      <c r="A115" s="4"/>
      <c r="B115" s="118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20"/>
    </row>
    <row r="116" spans="1:16" ht="15.75" thickBot="1" x14ac:dyDescent="0.3">
      <c r="A116" s="4"/>
      <c r="B116" s="121" t="s">
        <v>111</v>
      </c>
      <c r="C116" s="122"/>
      <c r="D116" s="122"/>
      <c r="E116" s="122"/>
      <c r="F116" s="122"/>
      <c r="G116" s="122" t="s">
        <v>112</v>
      </c>
      <c r="H116" s="122"/>
      <c r="I116" s="122"/>
      <c r="J116" s="122"/>
      <c r="K116" s="122"/>
      <c r="L116" s="122" t="s">
        <v>113</v>
      </c>
      <c r="M116" s="122"/>
      <c r="N116" s="122"/>
      <c r="O116" s="122"/>
      <c r="P116" s="123"/>
    </row>
    <row r="117" spans="1:16" s="7" customFormat="1" ht="16.899999999999999" customHeight="1" thickBot="1" x14ac:dyDescent="0.3">
      <c r="A117" s="6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10"/>
    </row>
    <row r="118" spans="1:16" s="3" customFormat="1" ht="15.75" customHeight="1" thickBot="1" x14ac:dyDescent="0.25">
      <c r="A118" s="111" t="s">
        <v>36</v>
      </c>
      <c r="B118" s="112"/>
      <c r="C118" s="112"/>
      <c r="D118" s="112" t="s">
        <v>114</v>
      </c>
      <c r="E118" s="112"/>
      <c r="F118" s="112"/>
      <c r="G118" s="112"/>
      <c r="H118" s="112"/>
      <c r="I118" s="112"/>
      <c r="J118" s="112" t="s">
        <v>37</v>
      </c>
      <c r="K118" s="112"/>
      <c r="L118" s="112"/>
      <c r="M118" s="112"/>
      <c r="N118" s="112"/>
      <c r="O118" s="112"/>
      <c r="P118" s="113"/>
    </row>
  </sheetData>
  <mergeCells count="2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K116"/>
    <mergeCell ref="L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8"/>
  <sheetViews>
    <sheetView view="pageBreakPreview" zoomScaleSheetLayoutView="100" zoomScalePageLayoutView="110" workbookViewId="0">
      <selection activeCell="F16" sqref="F16:G17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2.140625" customWidth="1"/>
    <col min="11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0"/>
      <c r="B2" s="321"/>
      <c r="C2" s="322"/>
      <c r="D2" s="323"/>
      <c r="E2" s="324" t="s">
        <v>127</v>
      </c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/>
    </row>
    <row r="3" spans="1:26" s="2" customFormat="1" ht="25.5" customHeight="1" thickBot="1" x14ac:dyDescent="0.3">
      <c r="A3" s="320"/>
      <c r="B3" s="328"/>
      <c r="C3" s="329"/>
      <c r="D3" s="330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3"/>
      <c r="P3" s="334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43109</v>
      </c>
      <c r="D5" s="296"/>
      <c r="E5" s="70" t="s">
        <v>50</v>
      </c>
      <c r="F5" s="71">
        <v>2</v>
      </c>
      <c r="G5" s="72" t="s">
        <v>1</v>
      </c>
      <c r="H5" s="297" t="s">
        <v>128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115</v>
      </c>
      <c r="E6" s="281"/>
      <c r="F6" s="281"/>
      <c r="G6" s="281"/>
      <c r="H6" s="281"/>
      <c r="I6" s="282"/>
      <c r="J6" s="74" t="s">
        <v>3</v>
      </c>
      <c r="K6" s="283" t="s">
        <v>116</v>
      </c>
      <c r="L6" s="282"/>
      <c r="M6" s="283" t="s">
        <v>117</v>
      </c>
      <c r="N6" s="284"/>
      <c r="O6" s="75" t="s">
        <v>51</v>
      </c>
      <c r="P6" s="76">
        <v>1521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118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 t="s">
        <v>4</v>
      </c>
      <c r="G10" s="210"/>
      <c r="H10" s="251" t="s">
        <v>9</v>
      </c>
      <c r="I10" s="246"/>
      <c r="J10" s="85" t="s">
        <v>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0.4055555555555555</v>
      </c>
      <c r="F11" s="254" t="s">
        <v>11</v>
      </c>
      <c r="G11" s="253"/>
      <c r="H11" s="87">
        <v>0.78</v>
      </c>
      <c r="I11" s="255" t="s">
        <v>12</v>
      </c>
      <c r="J11" s="256"/>
      <c r="K11" s="87">
        <v>18</v>
      </c>
      <c r="L11" s="252" t="s">
        <v>13</v>
      </c>
      <c r="M11" s="253"/>
      <c r="N11" s="88">
        <v>8.4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0.51041666666666663</v>
      </c>
      <c r="F12" s="247" t="s">
        <v>15</v>
      </c>
      <c r="G12" s="246"/>
      <c r="H12" s="87">
        <v>0.79</v>
      </c>
      <c r="I12" s="248" t="s">
        <v>16</v>
      </c>
      <c r="J12" s="246"/>
      <c r="K12" s="86">
        <v>0.37777777777777777</v>
      </c>
      <c r="L12" s="245" t="s">
        <v>17</v>
      </c>
      <c r="M12" s="246"/>
      <c r="N12" s="89">
        <v>0.8</v>
      </c>
      <c r="O12" s="249">
        <v>8.8000000000000007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8.8000000000000007</v>
      </c>
      <c r="D18" s="29">
        <v>0.36199999999999999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8">
        <v>1</v>
      </c>
      <c r="C19" s="211">
        <f>+C18+$N$12</f>
        <v>9.6000000000000014</v>
      </c>
      <c r="D19" s="188">
        <v>0.32600000000000001</v>
      </c>
      <c r="E19" s="188">
        <v>0.22600000000000001</v>
      </c>
      <c r="F19" s="36" t="s">
        <v>75</v>
      </c>
      <c r="G19" s="37">
        <v>0</v>
      </c>
      <c r="H19" s="38"/>
      <c r="I19" s="39"/>
      <c r="J19" s="40">
        <v>7.0000000000000007E-2</v>
      </c>
      <c r="K19" s="188">
        <f>+IF(E19&lt;=0.12,(J21),(IF(E19&lt;0.16,((J20+2*J21+J22)/4),IF(E19&gt;=0.16,((J19+3*J20+2*J21+3*J22+J23)/10)))))</f>
        <v>0.3256</v>
      </c>
      <c r="L19" s="188">
        <f>ROUND(+(D18+D19)/2*(C19-C18),3)</f>
        <v>0.27500000000000002</v>
      </c>
      <c r="M19" s="188">
        <f>ROUND(+K19*L19,4)</f>
        <v>8.9499999999999996E-2</v>
      </c>
      <c r="N19" s="191">
        <f>ROUND(+M19/$M$93*100,2)</f>
        <v>2.62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>
        <f>IF(E19&lt;0.125,"NA",IF(0.125&lt;=E19,(0.2*E19)))</f>
        <v>4.5200000000000004E-2</v>
      </c>
      <c r="H20" s="43"/>
      <c r="I20" s="44"/>
      <c r="J20" s="45">
        <v>0.254</v>
      </c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>+E19*0.4</f>
        <v>9.0400000000000008E-2</v>
      </c>
      <c r="H21" s="43"/>
      <c r="I21" s="44"/>
      <c r="J21" s="45">
        <v>0.33300000000000002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>
        <f>IF(E19&lt;0.125,"NA",IF(0.125&lt;=E19,(0.8*E19)))</f>
        <v>0.18080000000000002</v>
      </c>
      <c r="H22" s="43"/>
      <c r="I22" s="44"/>
      <c r="J22" s="45">
        <v>0.47199999999999998</v>
      </c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>+E19</f>
        <v>0.22600000000000001</v>
      </c>
      <c r="H23" s="48"/>
      <c r="I23" s="49"/>
      <c r="J23" s="50">
        <v>0.34200000000000003</v>
      </c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v>2</v>
      </c>
      <c r="C24" s="211">
        <f>+C19+$N$12</f>
        <v>10.400000000000002</v>
      </c>
      <c r="D24" s="188">
        <v>0.498</v>
      </c>
      <c r="E24" s="188">
        <v>0.42599999999999999</v>
      </c>
      <c r="F24" s="36" t="s">
        <v>75</v>
      </c>
      <c r="G24" s="37">
        <v>0</v>
      </c>
      <c r="H24" s="38"/>
      <c r="I24" s="39"/>
      <c r="J24" s="40">
        <v>0.13469</v>
      </c>
      <c r="K24" s="188">
        <f t="shared" ref="K24" si="0">+IF(E24&lt;=0.12,(J26),(IF(E24&lt;0.16,((J25+2*J26+J27)/4),IF(E24&gt;=0.16,((J24+3*J25+2*J26+3*J27+J28)/10)))))</f>
        <v>0.28675600000000001</v>
      </c>
      <c r="L24" s="188">
        <f>ROUND(+(D19+D24)/2*(C24-C19),3)</f>
        <v>0.33</v>
      </c>
      <c r="M24" s="188">
        <f t="shared" ref="M24" si="1">ROUND(+K24*L24,4)</f>
        <v>9.4600000000000004E-2</v>
      </c>
      <c r="N24" s="191">
        <f t="shared" ref="N24" si="2">ROUND(+M24/$M$93*100,2)</f>
        <v>2.77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>
        <f t="shared" ref="G25" si="3">IF(E24&lt;0.125,"NA",IF(0.125&lt;=E24,(0.2*E24)))</f>
        <v>8.5199999999999998E-2</v>
      </c>
      <c r="H25" s="43"/>
      <c r="I25" s="44"/>
      <c r="J25" s="45">
        <v>0.23898999999999998</v>
      </c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 t="shared" ref="G26" si="4">+E24*0.4</f>
        <v>0.1704</v>
      </c>
      <c r="H26" s="43"/>
      <c r="I26" s="44"/>
      <c r="J26" s="45">
        <v>0.26044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>
        <f t="shared" ref="G27" si="5">IF(E24&lt;0.125,"NA",IF(0.125&lt;=E24,(0.8*E24)))</f>
        <v>0.34079999999999999</v>
      </c>
      <c r="H27" s="43"/>
      <c r="I27" s="44"/>
      <c r="J27" s="45">
        <v>0.38585000000000003</v>
      </c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 t="shared" ref="G28" si="6">+E24</f>
        <v>0.42599999999999999</v>
      </c>
      <c r="H28" s="48"/>
      <c r="I28" s="49"/>
      <c r="J28" s="50">
        <v>0.33747000000000005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v>3</v>
      </c>
      <c r="C29" s="211">
        <f>+C24+$N$12</f>
        <v>11.200000000000003</v>
      </c>
      <c r="D29" s="188">
        <v>0.50900000000000001</v>
      </c>
      <c r="E29" s="188">
        <v>0.56899999999999995</v>
      </c>
      <c r="F29" s="36" t="s">
        <v>75</v>
      </c>
      <c r="G29" s="37">
        <v>0</v>
      </c>
      <c r="H29" s="38"/>
      <c r="I29" s="39"/>
      <c r="J29" s="40">
        <v>0.55898999999999999</v>
      </c>
      <c r="K29" s="188">
        <f t="shared" ref="K29" si="7">+IF(E29&lt;=0.12,(J31),(IF(E29&lt;0.16,((J30+2*J31+J32)/4),IF(E29&gt;=0.16,((J29+3*J30+2*J31+3*J32+J33)/10)))))</f>
        <v>0.93128299999999986</v>
      </c>
      <c r="L29" s="188">
        <f>ROUND(+(D24+D29)/2*(C29-C24),3)</f>
        <v>0.40300000000000002</v>
      </c>
      <c r="M29" s="188">
        <f t="shared" ref="M29" si="8">ROUND(+K29*L29,4)</f>
        <v>0.37530000000000002</v>
      </c>
      <c r="N29" s="191">
        <f t="shared" ref="N29" si="9">ROUND(+M29/$M$93*100,2)</f>
        <v>10.97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 t="shared" ref="G30" si="10">IF(E29&lt;0.125,"NA",IF(0.125&lt;=E29,(0.2*E29)))</f>
        <v>0.1138</v>
      </c>
      <c r="H30" s="43"/>
      <c r="I30" s="44"/>
      <c r="J30" s="45">
        <v>0.73581999999999992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 t="shared" ref="G31" si="11">+E29*0.4</f>
        <v>0.2276</v>
      </c>
      <c r="H31" s="43"/>
      <c r="I31" s="44"/>
      <c r="J31" s="45">
        <v>1.0052699999999999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 t="shared" ref="G32" si="12">IF(E29&lt;0.125,"NA",IF(0.125&lt;=E29,(0.8*E29)))</f>
        <v>0.45519999999999999</v>
      </c>
      <c r="H32" s="43"/>
      <c r="I32" s="44"/>
      <c r="J32" s="45">
        <v>1.1631899999999999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 t="shared" ref="G33" si="13">+E29</f>
        <v>0.56899999999999995</v>
      </c>
      <c r="H33" s="48"/>
      <c r="I33" s="49"/>
      <c r="J33" s="50">
        <v>1.04627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v>4</v>
      </c>
      <c r="C34" s="211">
        <f>+C29+$N$12</f>
        <v>12.000000000000004</v>
      </c>
      <c r="D34" s="188">
        <v>0.57899999999999996</v>
      </c>
      <c r="E34" s="188">
        <v>0.44900000000000001</v>
      </c>
      <c r="F34" s="36" t="s">
        <v>75</v>
      </c>
      <c r="G34" s="37">
        <v>0</v>
      </c>
      <c r="H34" s="38"/>
      <c r="I34" s="39"/>
      <c r="J34" s="40">
        <v>0.98699999999999999</v>
      </c>
      <c r="K34" s="188">
        <f t="shared" ref="K34" si="14">+IF(E34&lt;=0.12,(J36),(IF(E34&lt;0.16,((J35+2*J36+J37)/4),IF(E34&gt;=0.16,((J34+3*J35+2*J36+3*J37+J38)/10)))))</f>
        <v>1.2273000000000001</v>
      </c>
      <c r="L34" s="188">
        <f>ROUND(+(D29+D34)/2*(C34-C29),3)</f>
        <v>0.435</v>
      </c>
      <c r="M34" s="188">
        <f t="shared" ref="M34" si="15">ROUND(+K34*L34,4)</f>
        <v>0.53390000000000004</v>
      </c>
      <c r="N34" s="191">
        <f t="shared" ref="N34" si="16">ROUND(+M34/$M$93*100,2)</f>
        <v>15.61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>
        <f t="shared" ref="G35" si="17">IF(E34&lt;0.125,"NA",IF(0.125&lt;=E34,(0.2*E34)))</f>
        <v>8.9800000000000005E-2</v>
      </c>
      <c r="H35" s="43"/>
      <c r="I35" s="44"/>
      <c r="J35" s="45">
        <v>1.151</v>
      </c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 t="shared" ref="G36" si="18">+E34*0.4</f>
        <v>0.17960000000000001</v>
      </c>
      <c r="H36" s="43"/>
      <c r="I36" s="44"/>
      <c r="J36" s="45">
        <v>1.1859999999999999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>
        <f t="shared" ref="G37" si="19">IF(E34&lt;0.125,"NA",IF(0.125&lt;=E34,(0.8*E34)))</f>
        <v>0.35920000000000002</v>
      </c>
      <c r="H37" s="43"/>
      <c r="I37" s="44"/>
      <c r="J37" s="45">
        <v>1.421</v>
      </c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 t="shared" ref="G38" si="20">+E34</f>
        <v>0.44900000000000001</v>
      </c>
      <c r="H38" s="48"/>
      <c r="I38" s="49"/>
      <c r="J38" s="50">
        <v>1.198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v>5</v>
      </c>
      <c r="C39" s="211">
        <f>+C34+$N$12</f>
        <v>12.800000000000004</v>
      </c>
      <c r="D39" s="188">
        <v>0.71499999999999997</v>
      </c>
      <c r="E39" s="188">
        <v>0.71</v>
      </c>
      <c r="F39" s="36" t="s">
        <v>75</v>
      </c>
      <c r="G39" s="37">
        <v>0</v>
      </c>
      <c r="H39" s="38"/>
      <c r="I39" s="39"/>
      <c r="J39" s="40">
        <v>0.50700000000000001</v>
      </c>
      <c r="K39" s="188">
        <f t="shared" ref="K39" si="21">+IF(E39&lt;=0.12,(J41),(IF(E39&lt;0.16,((J40+2*J41+J42)/4),IF(E39&gt;=0.16,((J39+3*J40+2*J41+3*J42+J43)/10)))))</f>
        <v>0.99460000000000015</v>
      </c>
      <c r="L39" s="188">
        <f>ROUND(+(D34+D39)/2*(C39-C34),3)</f>
        <v>0.51800000000000002</v>
      </c>
      <c r="M39" s="188">
        <f t="shared" ref="M39" si="22">ROUND(+K39*L39,4)</f>
        <v>0.51519999999999999</v>
      </c>
      <c r="N39" s="191">
        <f t="shared" ref="N39" si="23">ROUND(+M39/$M$93*100,2)</f>
        <v>15.06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>
        <f t="shared" ref="G40" si="24">IF(E39&lt;0.125,"NA",IF(0.125&lt;=E39,(0.2*E39)))</f>
        <v>0.14199999999999999</v>
      </c>
      <c r="H40" s="43"/>
      <c r="I40" s="44"/>
      <c r="J40" s="45">
        <v>0.91900000000000004</v>
      </c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 t="shared" ref="G41" si="25">+E39*0.4</f>
        <v>0.28399999999999997</v>
      </c>
      <c r="H41" s="43"/>
      <c r="I41" s="44"/>
      <c r="J41" s="45">
        <v>0.98399999999999999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>
        <f t="shared" ref="G42" si="26">IF(E39&lt;0.125,"NA",IF(0.125&lt;=E39,(0.8*E39)))</f>
        <v>0.56799999999999995</v>
      </c>
      <c r="H42" s="43"/>
      <c r="I42" s="44"/>
      <c r="J42" s="45">
        <v>1.2070000000000001</v>
      </c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 t="shared" ref="G43" si="27">+E39</f>
        <v>0.71</v>
      </c>
      <c r="H43" s="48"/>
      <c r="I43" s="49"/>
      <c r="J43" s="50">
        <v>1.093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v>6</v>
      </c>
      <c r="C44" s="211">
        <f>+C39+$N$12</f>
        <v>13.600000000000005</v>
      </c>
      <c r="D44" s="188">
        <v>0.68</v>
      </c>
      <c r="E44" s="188">
        <v>0.72</v>
      </c>
      <c r="F44" s="36" t="s">
        <v>75</v>
      </c>
      <c r="G44" s="37">
        <v>0</v>
      </c>
      <c r="H44" s="38"/>
      <c r="I44" s="39"/>
      <c r="J44" s="40"/>
      <c r="K44" s="188"/>
      <c r="L44" s="188"/>
      <c r="M44" s="188"/>
      <c r="N44" s="191"/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 t="shared" ref="G45" si="28">IF(E44&lt;0.125,"NA",IF(0.125&lt;=E44,(0.2*E44)))</f>
        <v>0.14399999999999999</v>
      </c>
      <c r="H45" s="43"/>
      <c r="I45" s="44"/>
      <c r="J45" s="45"/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 t="shared" ref="G46" si="29">+E44*0.4</f>
        <v>0.28799999999999998</v>
      </c>
      <c r="H46" s="43"/>
      <c r="I46" s="44"/>
      <c r="J46" s="45"/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 t="shared" ref="G47" si="30">IF(E44&lt;0.125,"NA",IF(0.125&lt;=E44,(0.8*E44)))</f>
        <v>0.57599999999999996</v>
      </c>
      <c r="H47" s="43"/>
      <c r="I47" s="44"/>
      <c r="J47" s="45"/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 t="shared" ref="G48" si="31">+E44</f>
        <v>0.72</v>
      </c>
      <c r="H48" s="48"/>
      <c r="I48" s="49"/>
      <c r="J48" s="50"/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v>7</v>
      </c>
      <c r="C49" s="211">
        <f>+C44+$N$12</f>
        <v>14.400000000000006</v>
      </c>
      <c r="D49" s="188">
        <v>0.53100000000000003</v>
      </c>
      <c r="E49" s="188">
        <v>0.63900000000000001</v>
      </c>
      <c r="F49" s="36" t="s">
        <v>75</v>
      </c>
      <c r="G49" s="37">
        <v>0</v>
      </c>
      <c r="H49" s="38"/>
      <c r="I49" s="39"/>
      <c r="J49" s="40">
        <v>0.35699999999999998</v>
      </c>
      <c r="K49" s="188">
        <f t="shared" ref="K49" si="32">+IF(E49&lt;=0.12,(J51),(IF(E49&lt;0.16,((J50+2*J51+J52)/4),IF(E49&gt;=0.16,((J49+3*J50+2*J51+3*J52+J53)/10)))))</f>
        <v>1.0774000000000001</v>
      </c>
      <c r="L49" s="188">
        <f>ROUND(+(D44+D49)/2*(C49-C44),3)</f>
        <v>0.48399999999999999</v>
      </c>
      <c r="M49" s="188">
        <f t="shared" ref="M49" si="33">ROUND(+K49*L49,4)</f>
        <v>0.52149999999999996</v>
      </c>
      <c r="N49" s="191">
        <f t="shared" ref="N49" si="34">ROUND(+M49/$M$93*100,2)</f>
        <v>15.25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 t="shared" ref="G50" si="35">IF(E49&lt;0.125,"NA",IF(0.125&lt;=E49,(0.2*E49)))</f>
        <v>0.1278</v>
      </c>
      <c r="H50" s="43"/>
      <c r="I50" s="44"/>
      <c r="J50" s="45">
        <v>1.1040000000000001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 t="shared" ref="G51" si="36">+E49*0.4</f>
        <v>0.25559999999999999</v>
      </c>
      <c r="H51" s="43"/>
      <c r="I51" s="44"/>
      <c r="J51" s="45">
        <v>1.2070000000000001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 t="shared" ref="G52" si="37">IF(E49&lt;0.125,"NA",IF(0.125&lt;=E49,(0.8*E49)))</f>
        <v>0.51119999999999999</v>
      </c>
      <c r="H52" s="43"/>
      <c r="I52" s="44"/>
      <c r="J52" s="45">
        <v>1.181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 t="shared" ref="G53" si="38">+E49</f>
        <v>0.63900000000000001</v>
      </c>
      <c r="H53" s="48"/>
      <c r="I53" s="49"/>
      <c r="J53" s="50">
        <v>1.1479999999999999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8">
        <v>8</v>
      </c>
      <c r="C54" s="211">
        <f>+C49+$N$12</f>
        <v>15.200000000000006</v>
      </c>
      <c r="D54" s="188">
        <v>0.33500000000000002</v>
      </c>
      <c r="E54" s="188">
        <v>0.42299999999999999</v>
      </c>
      <c r="F54" s="36" t="s">
        <v>75</v>
      </c>
      <c r="G54" s="37">
        <v>0</v>
      </c>
      <c r="H54" s="38"/>
      <c r="I54" s="39"/>
      <c r="J54" s="40">
        <v>0.59732099999999999</v>
      </c>
      <c r="K54" s="188">
        <f t="shared" ref="K54" si="39">+IF(E54&lt;=0.12,(J56),(IF(E54&lt;0.16,((J55+2*J56+J57)/4),IF(E54&gt;=0.16,((J54+3*J55+2*J56+3*J57+J58)/10)))))</f>
        <v>1.0548104</v>
      </c>
      <c r="L54" s="188">
        <f>ROUND(+(D49+D54)/2*(C54-C49),3)</f>
        <v>0.34599999999999997</v>
      </c>
      <c r="M54" s="188">
        <f t="shared" ref="M54" si="40">ROUND(+K54*L54,4)</f>
        <v>0.36499999999999999</v>
      </c>
      <c r="N54" s="191">
        <f t="shared" ref="N54" si="41">ROUND(+M54/$M$93*100,2)</f>
        <v>10.67</v>
      </c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>
        <f t="shared" ref="G55" si="42">IF(E54&lt;0.125,"NA",IF(0.125&lt;=E54,(0.2*E54)))</f>
        <v>8.4600000000000009E-2</v>
      </c>
      <c r="H55" s="43"/>
      <c r="I55" s="44"/>
      <c r="J55" s="45">
        <v>0.94629099999999999</v>
      </c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 t="shared" ref="G56" si="43">+E54*0.4</f>
        <v>0.16920000000000002</v>
      </c>
      <c r="H56" s="43"/>
      <c r="I56" s="44"/>
      <c r="J56" s="45">
        <v>1.1812959999999999</v>
      </c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>
        <f t="shared" ref="G57" si="44">IF(E54&lt;0.125,"NA",IF(0.125&lt;=E54,(0.8*E54)))</f>
        <v>0.33840000000000003</v>
      </c>
      <c r="H57" s="43"/>
      <c r="I57" s="44"/>
      <c r="J57" s="45">
        <v>1.268265</v>
      </c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 t="shared" ref="G58" si="45">+E54</f>
        <v>0.42299999999999999</v>
      </c>
      <c r="H58" s="48"/>
      <c r="I58" s="49"/>
      <c r="J58" s="50">
        <v>0.944523</v>
      </c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v>9</v>
      </c>
      <c r="C59" s="211">
        <f>+C54+$N$12</f>
        <v>16.000000000000007</v>
      </c>
      <c r="D59" s="188">
        <v>0.22500000000000001</v>
      </c>
      <c r="E59" s="188">
        <v>0.247</v>
      </c>
      <c r="F59" s="36" t="s">
        <v>75</v>
      </c>
      <c r="G59" s="37">
        <v>0</v>
      </c>
      <c r="H59" s="38"/>
      <c r="I59" s="39"/>
      <c r="J59" s="40">
        <v>0.69059100000000007</v>
      </c>
      <c r="K59" s="188">
        <f t="shared" ref="K59" si="46">+IF(E59&lt;=0.12,(J61),(IF(E59&lt;0.16,((J60+2*J61+J62)/4),IF(E59&gt;=0.16,((J59+3*J60+2*J61+3*J62+J63)/10)))))</f>
        <v>0.96959470000000003</v>
      </c>
      <c r="L59" s="188">
        <f>ROUND(+(D54+D59)/2*(C59-C54),3)</f>
        <v>0.224</v>
      </c>
      <c r="M59" s="188">
        <f t="shared" ref="M59" si="47">ROUND(+K59*L59,4)</f>
        <v>0.2172</v>
      </c>
      <c r="N59" s="191">
        <f t="shared" ref="N59" si="48">ROUND(+M59/$M$93*100,2)</f>
        <v>6.35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 t="shared" ref="G60" si="49">IF(E59&lt;0.125,"NA",IF(0.125&lt;=E59,(0.2*E59)))</f>
        <v>4.9399999999999999E-2</v>
      </c>
      <c r="H60" s="43"/>
      <c r="I60" s="44"/>
      <c r="J60" s="45">
        <v>0.82133800000000001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 t="shared" ref="G61" si="50">+E59*0.4</f>
        <v>9.8799999999999999E-2</v>
      </c>
      <c r="H61" s="43"/>
      <c r="I61" s="44"/>
      <c r="J61" s="45">
        <v>0.89524300000000001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 t="shared" ref="G62" si="51">IF(E59&lt;0.125,"NA",IF(0.125&lt;=E59,(0.8*E59)))</f>
        <v>0.1976</v>
      </c>
      <c r="H62" s="43"/>
      <c r="I62" s="44"/>
      <c r="J62" s="45">
        <v>1.227171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 t="shared" ref="G63" si="52">+E59</f>
        <v>0.247</v>
      </c>
      <c r="H63" s="48"/>
      <c r="I63" s="49"/>
      <c r="J63" s="50">
        <v>1.0693429999999999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v>10</v>
      </c>
      <c r="C64" s="211">
        <f>+C59+$N$12</f>
        <v>16.800000000000008</v>
      </c>
      <c r="D64" s="188">
        <v>0.11899999999999999</v>
      </c>
      <c r="E64" s="188">
        <v>0.20200000000000001</v>
      </c>
      <c r="F64" s="36" t="s">
        <v>75</v>
      </c>
      <c r="G64" s="37">
        <v>0</v>
      </c>
      <c r="H64" s="38"/>
      <c r="I64" s="39"/>
      <c r="J64" s="40">
        <v>0.38800000000000001</v>
      </c>
      <c r="K64" s="188">
        <f t="shared" ref="K64" si="53">+IF(E64&lt;=0.12,(J66),(IF(E64&lt;0.16,((J65+2*J66+J67)/4),IF(E64&gt;=0.16,((J64+3*J65+2*J66+3*J67+J68)/10)))))</f>
        <v>0.47510000000000002</v>
      </c>
      <c r="L64" s="188">
        <f>ROUND(+(D59+D64)/2*(C64-C59),3)</f>
        <v>0.13800000000000001</v>
      </c>
      <c r="M64" s="188">
        <f t="shared" ref="M64" si="54">ROUND(+K64*L64,4)</f>
        <v>6.5600000000000006E-2</v>
      </c>
      <c r="N64" s="191">
        <f t="shared" ref="N64" si="55">ROUND(+M64/$M$93*100,2)</f>
        <v>1.92</v>
      </c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 t="shared" ref="G65" si="56">IF(E64&lt;0.125,"NA",IF(0.125&lt;=E64,(0.2*E64)))</f>
        <v>4.0400000000000005E-2</v>
      </c>
      <c r="H65" s="43"/>
      <c r="I65" s="44"/>
      <c r="J65" s="45">
        <v>0.41399999999999998</v>
      </c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 t="shared" ref="G66" si="57">+E64*0.4</f>
        <v>8.0800000000000011E-2</v>
      </c>
      <c r="H66" s="43"/>
      <c r="I66" s="44"/>
      <c r="J66" s="45">
        <v>0.48899999999999999</v>
      </c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 t="shared" ref="G67" si="58">IF(E64&lt;0.125,"NA",IF(0.125&lt;=E64,(0.8*E64)))</f>
        <v>0.16160000000000002</v>
      </c>
      <c r="H67" s="43"/>
      <c r="I67" s="44"/>
      <c r="J67" s="45">
        <v>0.54300000000000004</v>
      </c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 t="shared" ref="G68" si="59">+E64</f>
        <v>0.20200000000000001</v>
      </c>
      <c r="H68" s="48"/>
      <c r="I68" s="49"/>
      <c r="J68" s="50">
        <v>0.51400000000000001</v>
      </c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v>11</v>
      </c>
      <c r="C69" s="211">
        <f>C64+0.4</f>
        <v>17.200000000000006</v>
      </c>
      <c r="D69" s="188">
        <v>0.11799999999999999</v>
      </c>
      <c r="E69" s="188">
        <v>3.5000000000000003E-2</v>
      </c>
      <c r="F69" s="36" t="s">
        <v>75</v>
      </c>
      <c r="G69" s="37">
        <v>0</v>
      </c>
      <c r="H69" s="38"/>
      <c r="I69" s="39"/>
      <c r="J69" s="40"/>
      <c r="K69" s="188">
        <f t="shared" ref="K69" si="60">+IF(E69&lt;=0.12,(J71),(IF(E69&lt;0.16,((J70+2*J71+J72)/4),IF(E69&gt;=0.16,((J69+3*J70+2*J71+3*J72+J73)/10)))))</f>
        <v>0.127</v>
      </c>
      <c r="L69" s="188">
        <f>ROUND(+(D64+D69)/2*(C69-C64),3)</f>
        <v>4.7E-2</v>
      </c>
      <c r="M69" s="188">
        <f t="shared" ref="M69" si="61">ROUND(+K69*L69,4)</f>
        <v>6.0000000000000001E-3</v>
      </c>
      <c r="N69" s="191">
        <f t="shared" ref="N69" si="62">ROUND(+M69/$M$93*100,2)</f>
        <v>0.18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 t="str">
        <f t="shared" ref="G70" si="63">IF(E69&lt;0.125,"NA",IF(0.125&lt;=E69,(0.2*E69)))</f>
        <v>NA</v>
      </c>
      <c r="H70" s="43"/>
      <c r="I70" s="44"/>
      <c r="J70" s="45"/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 t="shared" ref="G71" si="64">+E69*0.4</f>
        <v>1.4000000000000002E-2</v>
      </c>
      <c r="H71" s="43"/>
      <c r="I71" s="44"/>
      <c r="J71" s="45">
        <v>0.127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 t="str">
        <f t="shared" ref="G72" si="65">IF(E69&lt;0.125,"NA",IF(0.125&lt;=E69,(0.8*E69)))</f>
        <v>NA</v>
      </c>
      <c r="H72" s="43"/>
      <c r="I72" s="44"/>
      <c r="J72" s="45"/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 t="shared" ref="G73" si="66">+E69</f>
        <v>3.5000000000000003E-2</v>
      </c>
      <c r="H73" s="48"/>
      <c r="I73" s="49"/>
      <c r="J73" s="50"/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" customFormat="1" ht="13.5" customHeight="1" x14ac:dyDescent="0.2">
      <c r="B74" s="196" t="s">
        <v>28</v>
      </c>
      <c r="C74" s="199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1"/>
    </row>
    <row r="75" spans="1:26" s="3" customFormat="1" ht="14.1" customHeight="1" x14ac:dyDescent="0.2">
      <c r="B75" s="197"/>
      <c r="C75" s="202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4"/>
    </row>
    <row r="76" spans="1:26" s="3" customFormat="1" ht="14.1" customHeight="1" x14ac:dyDescent="0.2">
      <c r="B76" s="197"/>
      <c r="C76" s="202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4"/>
    </row>
    <row r="77" spans="1:26" s="3" customFormat="1" ht="14.1" customHeight="1" x14ac:dyDescent="0.2">
      <c r="B77" s="197"/>
      <c r="C77" s="202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4"/>
    </row>
    <row r="78" spans="1:26" s="3" customFormat="1" ht="14.1" customHeight="1" x14ac:dyDescent="0.2">
      <c r="B78" s="197"/>
      <c r="C78" s="202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4"/>
    </row>
    <row r="79" spans="1:26" s="3" customFormat="1" ht="14.1" customHeight="1" thickBot="1" x14ac:dyDescent="0.25">
      <c r="B79" s="198"/>
      <c r="C79" s="205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7"/>
    </row>
    <row r="80" spans="1:26" s="3" customFormat="1" ht="28.5" customHeight="1" thickBot="1" x14ac:dyDescent="0.25">
      <c r="A80" s="51"/>
      <c r="B80" s="52" t="s">
        <v>80</v>
      </c>
      <c r="C80" s="175" t="s">
        <v>81</v>
      </c>
      <c r="D80" s="175"/>
      <c r="E80" s="175"/>
      <c r="F80" s="175"/>
      <c r="G80" s="175"/>
      <c r="H80" s="176"/>
      <c r="I80" s="177"/>
      <c r="J80" s="52" t="s">
        <v>82</v>
      </c>
      <c r="K80" s="175" t="s">
        <v>83</v>
      </c>
      <c r="L80" s="175"/>
      <c r="M80" s="175"/>
      <c r="N80" s="175"/>
      <c r="O80" s="175"/>
      <c r="P80" s="176"/>
    </row>
    <row r="81" spans="1:26" s="3" customFormat="1" ht="28.5" customHeight="1" thickBot="1" x14ac:dyDescent="0.25">
      <c r="B81" s="53" t="s">
        <v>84</v>
      </c>
      <c r="C81" s="179" t="s">
        <v>85</v>
      </c>
      <c r="D81" s="179"/>
      <c r="E81" s="179"/>
      <c r="F81" s="179"/>
      <c r="G81" s="179"/>
      <c r="H81" s="180"/>
      <c r="I81" s="178"/>
      <c r="J81" s="53" t="s">
        <v>86</v>
      </c>
      <c r="K81" s="179" t="s">
        <v>87</v>
      </c>
      <c r="L81" s="179"/>
      <c r="M81" s="179"/>
      <c r="N81" s="179"/>
      <c r="O81" s="179"/>
      <c r="P81" s="180"/>
    </row>
    <row r="82" spans="1:26" s="91" customFormat="1" ht="13.5" customHeight="1" x14ac:dyDescent="0.25">
      <c r="A82" s="54"/>
      <c r="B82" s="181">
        <v>6</v>
      </c>
      <c r="C82" s="184">
        <f>C44-($N$12)</f>
        <v>12.800000000000004</v>
      </c>
      <c r="D82" s="186">
        <v>0.71499999999999997</v>
      </c>
      <c r="E82" s="186">
        <v>0.72</v>
      </c>
      <c r="F82" s="55" t="s">
        <v>75</v>
      </c>
      <c r="G82" s="55">
        <v>0.01</v>
      </c>
      <c r="H82" s="56"/>
      <c r="I82" s="57"/>
      <c r="J82" s="58">
        <v>0.68598899999999996</v>
      </c>
      <c r="K82" s="187">
        <f>+AVERAGE(J82:J92)</f>
        <v>1.1400897272727273</v>
      </c>
      <c r="L82" s="166">
        <f>ROUND(+(D82+D87)/2*(C87-C82),3)</f>
        <v>0.55800000000000005</v>
      </c>
      <c r="M82" s="169">
        <f>ROUND(+K82*L82,4)</f>
        <v>0.63619999999999999</v>
      </c>
      <c r="N82" s="166">
        <f>ROUND(+M82/$M$93*100,2)</f>
        <v>18.600000000000001</v>
      </c>
      <c r="O82" s="166"/>
      <c r="P82" s="170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s="91" customFormat="1" ht="13.5" customHeight="1" x14ac:dyDescent="0.25">
      <c r="A83" s="54"/>
      <c r="B83" s="182"/>
      <c r="C83" s="167"/>
      <c r="D83" s="167"/>
      <c r="E83" s="167"/>
      <c r="F83" s="60" t="s">
        <v>88</v>
      </c>
      <c r="G83" s="61">
        <f>+E82*0.1</f>
        <v>7.1999999999999995E-2</v>
      </c>
      <c r="H83" s="62"/>
      <c r="I83" s="63"/>
      <c r="J83" s="64">
        <v>0.95571899999999987</v>
      </c>
      <c r="K83" s="167"/>
      <c r="L83" s="167"/>
      <c r="M83" s="167"/>
      <c r="N83" s="167"/>
      <c r="O83" s="167"/>
      <c r="P83" s="171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s="91" customFormat="1" ht="13.5" customHeight="1" x14ac:dyDescent="0.25">
      <c r="A84" s="54"/>
      <c r="B84" s="182"/>
      <c r="C84" s="167"/>
      <c r="D84" s="167"/>
      <c r="E84" s="167"/>
      <c r="F84" s="60" t="s">
        <v>89</v>
      </c>
      <c r="G84" s="61">
        <f>+E82*0.2</f>
        <v>0.14399999999999999</v>
      </c>
      <c r="H84" s="62"/>
      <c r="I84" s="63"/>
      <c r="J84" s="64">
        <v>1.0322640000000001</v>
      </c>
      <c r="K84" s="167"/>
      <c r="L84" s="167"/>
      <c r="M84" s="167"/>
      <c r="N84" s="167"/>
      <c r="O84" s="167"/>
      <c r="P84" s="171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s="91" customFormat="1" ht="13.5" customHeight="1" x14ac:dyDescent="0.25">
      <c r="A85" s="54"/>
      <c r="B85" s="182"/>
      <c r="C85" s="167"/>
      <c r="D85" s="167"/>
      <c r="E85" s="167"/>
      <c r="F85" s="60" t="s">
        <v>90</v>
      </c>
      <c r="G85" s="61">
        <f>+E82*0.3</f>
        <v>0.216</v>
      </c>
      <c r="H85" s="62"/>
      <c r="I85" s="63"/>
      <c r="J85" s="64">
        <v>1.1408849999999999</v>
      </c>
      <c r="K85" s="167"/>
      <c r="L85" s="167"/>
      <c r="M85" s="167"/>
      <c r="N85" s="167"/>
      <c r="O85" s="167"/>
      <c r="P85" s="171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s="91" customFormat="1" ht="13.5" customHeight="1" x14ac:dyDescent="0.25">
      <c r="A86" s="54"/>
      <c r="B86" s="182"/>
      <c r="C86" s="185"/>
      <c r="D86" s="185"/>
      <c r="E86" s="167"/>
      <c r="F86" s="60" t="s">
        <v>91</v>
      </c>
      <c r="G86" s="61">
        <f>+E82*0.4</f>
        <v>0.28799999999999998</v>
      </c>
      <c r="H86" s="62"/>
      <c r="I86" s="63"/>
      <c r="J86" s="64">
        <v>1.154007</v>
      </c>
      <c r="K86" s="167"/>
      <c r="L86" s="167"/>
      <c r="M86" s="167"/>
      <c r="N86" s="167"/>
      <c r="O86" s="167"/>
      <c r="P86" s="171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s="91" customFormat="1" ht="13.5" customHeight="1" x14ac:dyDescent="0.25">
      <c r="A87" s="54"/>
      <c r="B87" s="182"/>
      <c r="C87" s="173">
        <f>C44</f>
        <v>13.600000000000005</v>
      </c>
      <c r="D87" s="174">
        <v>0.68</v>
      </c>
      <c r="E87" s="167"/>
      <c r="F87" s="60" t="s">
        <v>29</v>
      </c>
      <c r="G87" s="61">
        <f>+E82*0.5</f>
        <v>0.36</v>
      </c>
      <c r="H87" s="62"/>
      <c r="I87" s="63"/>
      <c r="J87" s="64">
        <v>1.1744190000000001</v>
      </c>
      <c r="K87" s="167"/>
      <c r="L87" s="167"/>
      <c r="M87" s="167"/>
      <c r="N87" s="167"/>
      <c r="O87" s="167"/>
      <c r="P87" s="171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s="91" customFormat="1" ht="13.5" customHeight="1" x14ac:dyDescent="0.25">
      <c r="A88" s="54"/>
      <c r="B88" s="182"/>
      <c r="C88" s="167"/>
      <c r="D88" s="167"/>
      <c r="E88" s="167"/>
      <c r="F88" s="60" t="s">
        <v>92</v>
      </c>
      <c r="G88" s="61">
        <f>+E82*0.6</f>
        <v>0.432</v>
      </c>
      <c r="H88" s="62"/>
      <c r="I88" s="63"/>
      <c r="J88" s="64">
        <v>1.2378420000000001</v>
      </c>
      <c r="K88" s="167"/>
      <c r="L88" s="167"/>
      <c r="M88" s="167"/>
      <c r="N88" s="167"/>
      <c r="O88" s="167"/>
      <c r="P88" s="171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s="91" customFormat="1" ht="13.5" customHeight="1" x14ac:dyDescent="0.25">
      <c r="A89" s="54"/>
      <c r="B89" s="182"/>
      <c r="C89" s="167"/>
      <c r="D89" s="167"/>
      <c r="E89" s="167"/>
      <c r="F89" s="60" t="s">
        <v>93</v>
      </c>
      <c r="G89" s="61">
        <f>+E82*0.7</f>
        <v>0.504</v>
      </c>
      <c r="H89" s="62"/>
      <c r="I89" s="63"/>
      <c r="J89" s="64">
        <v>1.2414870000000002</v>
      </c>
      <c r="K89" s="167"/>
      <c r="L89" s="167"/>
      <c r="M89" s="167"/>
      <c r="N89" s="167"/>
      <c r="O89" s="167"/>
      <c r="P89" s="171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s="91" customFormat="1" ht="13.5" customHeight="1" x14ac:dyDescent="0.25">
      <c r="A90" s="54"/>
      <c r="B90" s="182"/>
      <c r="C90" s="167"/>
      <c r="D90" s="167"/>
      <c r="E90" s="167"/>
      <c r="F90" s="60" t="s">
        <v>94</v>
      </c>
      <c r="G90" s="61">
        <f>+E82*0.8</f>
        <v>0.57599999999999996</v>
      </c>
      <c r="H90" s="62"/>
      <c r="I90" s="63"/>
      <c r="J90" s="64">
        <v>1.305639</v>
      </c>
      <c r="K90" s="167"/>
      <c r="L90" s="167"/>
      <c r="M90" s="167"/>
      <c r="N90" s="167"/>
      <c r="O90" s="167"/>
      <c r="P90" s="171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s="91" customFormat="1" ht="13.5" customHeight="1" x14ac:dyDescent="0.25">
      <c r="A91" s="54"/>
      <c r="B91" s="182"/>
      <c r="C91" s="167"/>
      <c r="D91" s="167"/>
      <c r="E91" s="167"/>
      <c r="F91" s="60" t="s">
        <v>95</v>
      </c>
      <c r="G91" s="61">
        <f>+E82*0.9</f>
        <v>0.64800000000000002</v>
      </c>
      <c r="H91" s="62"/>
      <c r="I91" s="63"/>
      <c r="J91" s="64">
        <v>1.3143870000000002</v>
      </c>
      <c r="K91" s="167"/>
      <c r="L91" s="167"/>
      <c r="M91" s="167"/>
      <c r="N91" s="167"/>
      <c r="O91" s="167"/>
      <c r="P91" s="171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s="91" customFormat="1" ht="15.75" thickBot="1" x14ac:dyDescent="0.3">
      <c r="A92" s="54"/>
      <c r="B92" s="183"/>
      <c r="C92" s="168"/>
      <c r="D92" s="168"/>
      <c r="E92" s="168"/>
      <c r="F92" s="65" t="s">
        <v>30</v>
      </c>
      <c r="G92" s="65">
        <f>+E82</f>
        <v>0.72</v>
      </c>
      <c r="H92" s="66"/>
      <c r="I92" s="67"/>
      <c r="J92" s="68">
        <v>1.298349</v>
      </c>
      <c r="K92" s="168"/>
      <c r="L92" s="168"/>
      <c r="M92" s="168"/>
      <c r="N92" s="168"/>
      <c r="O92" s="168"/>
      <c r="P92" s="172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3" customFormat="1" ht="12.75" x14ac:dyDescent="0.2">
      <c r="A93" s="8"/>
      <c r="B93" s="154" t="s">
        <v>103</v>
      </c>
      <c r="C93" s="154"/>
      <c r="D93" s="154"/>
      <c r="E93" s="154"/>
      <c r="F93" s="154"/>
      <c r="G93" s="154"/>
      <c r="H93" s="154"/>
      <c r="I93" s="154"/>
      <c r="J93" s="154"/>
      <c r="K93" s="13">
        <f>ROUND(+M93/L93,3)</f>
        <v>0.91</v>
      </c>
      <c r="L93" s="12">
        <f>SUM(L19:L92)</f>
        <v>3.7580000000000009</v>
      </c>
      <c r="M93" s="11">
        <f>SUM(M19:M92)</f>
        <v>3.42</v>
      </c>
      <c r="N93" s="9">
        <f>ROUND(SUM(N19:N92),0)</f>
        <v>100</v>
      </c>
      <c r="O93" s="156" t="s">
        <v>31</v>
      </c>
      <c r="P93" s="158"/>
    </row>
    <row r="94" spans="1:26" s="3" customFormat="1" ht="15" customHeight="1" thickBot="1" x14ac:dyDescent="0.25">
      <c r="A94" s="8"/>
      <c r="B94" s="155"/>
      <c r="C94" s="155"/>
      <c r="D94" s="155"/>
      <c r="E94" s="155"/>
      <c r="F94" s="155"/>
      <c r="G94" s="155"/>
      <c r="H94" s="155"/>
      <c r="I94" s="155"/>
      <c r="J94" s="155"/>
      <c r="K94" s="10" t="s">
        <v>32</v>
      </c>
      <c r="L94" s="10" t="s">
        <v>48</v>
      </c>
      <c r="M94" s="10" t="s">
        <v>100</v>
      </c>
      <c r="N94" s="10" t="s">
        <v>33</v>
      </c>
      <c r="O94" s="157"/>
      <c r="P94" s="159"/>
    </row>
    <row r="95" spans="1:26" ht="15" customHeight="1" thickBot="1" x14ac:dyDescent="0.3">
      <c r="A95" s="93"/>
      <c r="B95" s="160" t="s">
        <v>96</v>
      </c>
      <c r="C95" s="161"/>
      <c r="D95" s="161"/>
      <c r="E95" s="161"/>
      <c r="F95" s="162"/>
      <c r="G95" s="160" t="s">
        <v>97</v>
      </c>
      <c r="H95" s="161"/>
      <c r="I95" s="161"/>
      <c r="J95" s="161"/>
      <c r="K95" s="162"/>
      <c r="L95" s="163" t="s">
        <v>49</v>
      </c>
      <c r="M95" s="164"/>
      <c r="N95" s="164"/>
      <c r="O95" s="164"/>
      <c r="P95" s="165"/>
    </row>
    <row r="96" spans="1:26" ht="15" customHeight="1" x14ac:dyDescent="0.25">
      <c r="A96" s="93"/>
      <c r="B96" s="124"/>
      <c r="C96" s="125"/>
      <c r="D96" s="125"/>
      <c r="E96" s="125"/>
      <c r="F96" s="126"/>
      <c r="G96" s="124"/>
      <c r="H96" s="125"/>
      <c r="I96" s="125"/>
      <c r="J96" s="125"/>
      <c r="K96" s="126"/>
      <c r="L96" s="133" t="s">
        <v>98</v>
      </c>
      <c r="M96" s="134"/>
      <c r="N96" s="134"/>
      <c r="O96" s="135">
        <f>+AVERAGE(E18:E73)</f>
        <v>0.42236363636363633</v>
      </c>
      <c r="P96" s="136"/>
    </row>
    <row r="97" spans="1:16" ht="15" customHeight="1" thickBot="1" x14ac:dyDescent="0.3">
      <c r="A97" s="93"/>
      <c r="B97" s="127"/>
      <c r="C97" s="128"/>
      <c r="D97" s="128"/>
      <c r="E97" s="128"/>
      <c r="F97" s="129"/>
      <c r="G97" s="127"/>
      <c r="H97" s="128"/>
      <c r="I97" s="128"/>
      <c r="J97" s="128"/>
      <c r="K97" s="129"/>
      <c r="L97" s="137" t="s">
        <v>99</v>
      </c>
      <c r="M97" s="138"/>
      <c r="N97" s="138"/>
      <c r="O97" s="302">
        <f>MAX(E18:E73)</f>
        <v>0.72</v>
      </c>
      <c r="P97" s="303"/>
    </row>
    <row r="98" spans="1:16" ht="18.600000000000001" customHeight="1" x14ac:dyDescent="0.25">
      <c r="A98" s="94"/>
      <c r="B98" s="127"/>
      <c r="C98" s="128"/>
      <c r="D98" s="128"/>
      <c r="E98" s="128"/>
      <c r="F98" s="129"/>
      <c r="G98" s="127"/>
      <c r="H98" s="128"/>
      <c r="I98" s="128"/>
      <c r="J98" s="128"/>
      <c r="K98" s="129"/>
      <c r="L98" s="141" t="s">
        <v>119</v>
      </c>
      <c r="M98" s="142"/>
      <c r="N98" s="142"/>
      <c r="O98" s="142"/>
      <c r="P98" s="143"/>
    </row>
    <row r="99" spans="1:16" ht="42" customHeight="1" x14ac:dyDescent="0.25">
      <c r="A99" s="95"/>
      <c r="B99" s="127"/>
      <c r="C99" s="128"/>
      <c r="D99" s="128"/>
      <c r="E99" s="128"/>
      <c r="F99" s="129"/>
      <c r="G99" s="127"/>
      <c r="H99" s="128"/>
      <c r="I99" s="128"/>
      <c r="J99" s="128"/>
      <c r="K99" s="129"/>
      <c r="L99" s="144"/>
      <c r="M99" s="145"/>
      <c r="N99" s="145"/>
      <c r="O99" s="145"/>
      <c r="P99" s="146"/>
    </row>
    <row r="100" spans="1:16" ht="15" customHeight="1" thickBot="1" x14ac:dyDescent="0.3">
      <c r="A100" s="93"/>
      <c r="B100" s="127"/>
      <c r="C100" s="128"/>
      <c r="D100" s="128"/>
      <c r="E100" s="128"/>
      <c r="F100" s="129"/>
      <c r="G100" s="127"/>
      <c r="H100" s="128"/>
      <c r="I100" s="128"/>
      <c r="J100" s="128"/>
      <c r="K100" s="129"/>
      <c r="L100" s="147"/>
      <c r="M100" s="148"/>
      <c r="N100" s="148"/>
      <c r="O100" s="148"/>
      <c r="P100" s="149"/>
    </row>
    <row r="101" spans="1:16" ht="22.5" customHeight="1" thickBot="1" x14ac:dyDescent="0.3">
      <c r="A101" s="93"/>
      <c r="B101" s="127"/>
      <c r="C101" s="128"/>
      <c r="D101" s="128"/>
      <c r="E101" s="128"/>
      <c r="F101" s="129"/>
      <c r="G101" s="127"/>
      <c r="H101" s="128"/>
      <c r="I101" s="128"/>
      <c r="J101" s="128"/>
      <c r="K101" s="129"/>
      <c r="L101" s="150" t="s">
        <v>34</v>
      </c>
      <c r="M101" s="151"/>
      <c r="N101" s="151"/>
      <c r="O101" s="151"/>
      <c r="P101" s="90">
        <v>8.1999999999999993</v>
      </c>
    </row>
    <row r="102" spans="1:16" ht="32.25" customHeight="1" thickBot="1" x14ac:dyDescent="0.3">
      <c r="A102" s="93"/>
      <c r="B102" s="130"/>
      <c r="C102" s="131"/>
      <c r="D102" s="131"/>
      <c r="E102" s="131"/>
      <c r="F102" s="132"/>
      <c r="G102" s="130"/>
      <c r="H102" s="131"/>
      <c r="I102" s="131"/>
      <c r="J102" s="131"/>
      <c r="K102" s="132"/>
      <c r="L102" s="152" t="s">
        <v>102</v>
      </c>
      <c r="M102" s="153"/>
      <c r="N102" s="153"/>
      <c r="O102" s="153"/>
      <c r="P102" s="90" t="s">
        <v>110</v>
      </c>
    </row>
    <row r="103" spans="1:16" ht="23.45" customHeight="1" thickBot="1" x14ac:dyDescent="0.3">
      <c r="A103" s="5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</row>
    <row r="104" spans="1:16" ht="15.75" thickBot="1" x14ac:dyDescent="0.3">
      <c r="A104" s="115" t="s">
        <v>35</v>
      </c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7"/>
    </row>
    <row r="105" spans="1:16" ht="159" customHeight="1" thickBot="1" x14ac:dyDescent="0.3">
      <c r="A105" s="4"/>
      <c r="B105" s="118"/>
      <c r="C105" s="119"/>
      <c r="D105" s="119"/>
      <c r="E105" s="119"/>
      <c r="F105" s="300"/>
      <c r="G105" s="118"/>
      <c r="H105" s="119"/>
      <c r="I105" s="119"/>
      <c r="J105" s="119"/>
      <c r="K105" s="300"/>
      <c r="L105" s="118"/>
      <c r="M105" s="119"/>
      <c r="N105" s="119"/>
      <c r="O105" s="119"/>
      <c r="P105" s="120"/>
    </row>
    <row r="106" spans="1:16" ht="21.75" customHeight="1" thickBot="1" x14ac:dyDescent="0.3">
      <c r="A106" s="4"/>
      <c r="B106" s="121" t="s">
        <v>120</v>
      </c>
      <c r="C106" s="122"/>
      <c r="D106" s="122"/>
      <c r="E106" s="122"/>
      <c r="F106" s="301"/>
      <c r="G106" s="121" t="s">
        <v>121</v>
      </c>
      <c r="H106" s="122"/>
      <c r="I106" s="122"/>
      <c r="J106" s="122"/>
      <c r="K106" s="301"/>
      <c r="L106" s="121" t="s">
        <v>113</v>
      </c>
      <c r="M106" s="122"/>
      <c r="N106" s="122"/>
      <c r="O106" s="122"/>
      <c r="P106" s="123"/>
    </row>
    <row r="107" spans="1:16" s="7" customFormat="1" ht="16.899999999999999" customHeight="1" thickBot="1" x14ac:dyDescent="0.3">
      <c r="A107" s="6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10"/>
    </row>
    <row r="108" spans="1:16" s="3" customFormat="1" ht="15.75" customHeight="1" thickBot="1" x14ac:dyDescent="0.25">
      <c r="A108" s="111" t="s">
        <v>36</v>
      </c>
      <c r="B108" s="112"/>
      <c r="C108" s="112"/>
      <c r="D108" s="112"/>
      <c r="E108" s="112"/>
      <c r="F108" s="112"/>
      <c r="G108" s="112"/>
      <c r="H108" s="112"/>
      <c r="I108" s="112"/>
      <c r="J108" s="112" t="s">
        <v>37</v>
      </c>
      <c r="K108" s="112"/>
      <c r="L108" s="112"/>
      <c r="M108" s="112"/>
      <c r="N108" s="112"/>
      <c r="O108" s="112"/>
      <c r="P108" s="113"/>
    </row>
  </sheetData>
  <mergeCells count="21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9:M73"/>
    <mergeCell ref="N69:N73"/>
    <mergeCell ref="O69:O73"/>
    <mergeCell ref="P69:P73"/>
    <mergeCell ref="B74:B79"/>
    <mergeCell ref="C74:P79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C80:H80"/>
    <mergeCell ref="I80:I81"/>
    <mergeCell ref="K80:P80"/>
    <mergeCell ref="C81:H81"/>
    <mergeCell ref="K81:P81"/>
    <mergeCell ref="B82:B92"/>
    <mergeCell ref="C82:C86"/>
    <mergeCell ref="D82:D86"/>
    <mergeCell ref="E82:E92"/>
    <mergeCell ref="K82:K92"/>
    <mergeCell ref="B93:J94"/>
    <mergeCell ref="O93:O94"/>
    <mergeCell ref="P93:P94"/>
    <mergeCell ref="B95:F95"/>
    <mergeCell ref="G95:K95"/>
    <mergeCell ref="L95:P95"/>
    <mergeCell ref="L82:L92"/>
    <mergeCell ref="M82:M92"/>
    <mergeCell ref="N82:N92"/>
    <mergeCell ref="O82:O92"/>
    <mergeCell ref="P82:P92"/>
    <mergeCell ref="C87:C92"/>
    <mergeCell ref="D87:D92"/>
    <mergeCell ref="B96:F102"/>
    <mergeCell ref="G96:K102"/>
    <mergeCell ref="L96:N96"/>
    <mergeCell ref="O96:P96"/>
    <mergeCell ref="L97:N97"/>
    <mergeCell ref="O97:P97"/>
    <mergeCell ref="L98:P100"/>
    <mergeCell ref="L101:O101"/>
    <mergeCell ref="L102:O102"/>
    <mergeCell ref="B107:P107"/>
    <mergeCell ref="A108:C108"/>
    <mergeCell ref="D108:I108"/>
    <mergeCell ref="J108:K108"/>
    <mergeCell ref="L108:P108"/>
    <mergeCell ref="B103:P103"/>
    <mergeCell ref="A104:P104"/>
    <mergeCell ref="B105:F105"/>
    <mergeCell ref="G105:K105"/>
    <mergeCell ref="L105:P105"/>
    <mergeCell ref="B106:F106"/>
    <mergeCell ref="G106:K106"/>
    <mergeCell ref="L106:P10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8"/>
  <sheetViews>
    <sheetView view="pageBreakPreview" zoomScaleSheetLayoutView="100" zoomScalePageLayoutView="110" workbookViewId="0">
      <selection activeCell="F16" sqref="F16:G17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2.140625" customWidth="1"/>
    <col min="11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0"/>
      <c r="B2" s="321"/>
      <c r="C2" s="322"/>
      <c r="D2" s="323"/>
      <c r="E2" s="324" t="s">
        <v>127</v>
      </c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/>
    </row>
    <row r="3" spans="1:26" s="2" customFormat="1" ht="25.5" customHeight="1" thickBot="1" x14ac:dyDescent="0.3">
      <c r="A3" s="320"/>
      <c r="B3" s="328"/>
      <c r="C3" s="329"/>
      <c r="D3" s="330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3"/>
      <c r="P3" s="334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43160</v>
      </c>
      <c r="D5" s="296"/>
      <c r="E5" s="70" t="s">
        <v>50</v>
      </c>
      <c r="F5" s="71">
        <v>3</v>
      </c>
      <c r="G5" s="72" t="s">
        <v>1</v>
      </c>
      <c r="H5" s="297" t="s">
        <v>128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105</v>
      </c>
      <c r="E6" s="281"/>
      <c r="F6" s="281"/>
      <c r="G6" s="281"/>
      <c r="H6" s="281"/>
      <c r="I6" s="282"/>
      <c r="J6" s="74" t="s">
        <v>3</v>
      </c>
      <c r="K6" s="283" t="s">
        <v>116</v>
      </c>
      <c r="L6" s="282"/>
      <c r="M6" s="283" t="s">
        <v>117</v>
      </c>
      <c r="N6" s="284"/>
      <c r="O6" s="75" t="s">
        <v>51</v>
      </c>
      <c r="P6" s="76">
        <v>1521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104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122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 t="s">
        <v>4</v>
      </c>
      <c r="G10" s="210"/>
      <c r="H10" s="251" t="s">
        <v>9</v>
      </c>
      <c r="I10" s="246"/>
      <c r="J10" s="85" t="s">
        <v>104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0.1763888888888889</v>
      </c>
      <c r="F11" s="254" t="s">
        <v>11</v>
      </c>
      <c r="G11" s="253"/>
      <c r="H11" s="87">
        <v>0.75</v>
      </c>
      <c r="I11" s="255" t="s">
        <v>12</v>
      </c>
      <c r="J11" s="256"/>
      <c r="K11" s="87">
        <v>19</v>
      </c>
      <c r="L11" s="252" t="s">
        <v>13</v>
      </c>
      <c r="M11" s="253"/>
      <c r="N11" s="88">
        <v>7.4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0.23263888888888887</v>
      </c>
      <c r="F12" s="247" t="s">
        <v>15</v>
      </c>
      <c r="G12" s="246"/>
      <c r="H12" s="87">
        <v>0.73</v>
      </c>
      <c r="I12" s="248" t="s">
        <v>16</v>
      </c>
      <c r="J12" s="246"/>
      <c r="K12" s="86">
        <v>0.18680555555555556</v>
      </c>
      <c r="L12" s="245" t="s">
        <v>17</v>
      </c>
      <c r="M12" s="246"/>
      <c r="N12" s="89">
        <v>0.5</v>
      </c>
      <c r="O12" s="249">
        <v>1.2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1.2</v>
      </c>
      <c r="D18" s="29">
        <v>0.15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8">
        <v>1</v>
      </c>
      <c r="C19" s="211">
        <f>+C18+$N$12</f>
        <v>1.7</v>
      </c>
      <c r="D19" s="188">
        <v>0.255</v>
      </c>
      <c r="E19" s="188">
        <v>0.185</v>
      </c>
      <c r="F19" s="36" t="s">
        <v>75</v>
      </c>
      <c r="G19" s="37">
        <v>0</v>
      </c>
      <c r="H19" s="38"/>
      <c r="I19" s="39"/>
      <c r="J19" s="40">
        <v>6.9000000000000006E-2</v>
      </c>
      <c r="K19" s="188">
        <f>+IF(E19&lt;=0.12,(J21),(IF(E19&lt;0.16,((J20+2*J21+J22)/4),IF(E19&gt;=0.16,((J19+3*J20+2*J21+3*J22+J23)/10)))))</f>
        <v>0.13750000000000001</v>
      </c>
      <c r="L19" s="188">
        <f>ROUND(+(D18+D19)/2*(C19-C18),3)</f>
        <v>0.10100000000000001</v>
      </c>
      <c r="M19" s="188">
        <f>ROUND(+K19*L19,4)</f>
        <v>1.3899999999999999E-2</v>
      </c>
      <c r="N19" s="191">
        <f>ROUND(+M19/$M$113*100,2)</f>
        <v>0.59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>
        <f>IF(E19&lt;0.125,"NA",IF(0.125&lt;=E19,(0.2*E19)))</f>
        <v>3.6999999999999998E-2</v>
      </c>
      <c r="H20" s="43"/>
      <c r="I20" s="44"/>
      <c r="J20" s="45">
        <v>0.104</v>
      </c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>+E19*0.4</f>
        <v>7.3999999999999996E-2</v>
      </c>
      <c r="H21" s="43"/>
      <c r="I21" s="44"/>
      <c r="J21" s="45">
        <v>0.125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>
        <f>IF(E19&lt;0.125,"NA",IF(0.125&lt;=E19,(0.8*E19)))</f>
        <v>0.14799999999999999</v>
      </c>
      <c r="H22" s="43"/>
      <c r="I22" s="44"/>
      <c r="J22" s="45">
        <v>0.2</v>
      </c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>+E19</f>
        <v>0.185</v>
      </c>
      <c r="H23" s="48"/>
      <c r="I23" s="49"/>
      <c r="J23" s="50">
        <v>0.14399999999999999</v>
      </c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v>2</v>
      </c>
      <c r="C24" s="211">
        <f>+C19+$N$12</f>
        <v>2.2000000000000002</v>
      </c>
      <c r="D24" s="188">
        <v>0.27</v>
      </c>
      <c r="E24" s="188">
        <v>0.25</v>
      </c>
      <c r="F24" s="36" t="s">
        <v>75</v>
      </c>
      <c r="G24" s="37">
        <v>0</v>
      </c>
      <c r="H24" s="38"/>
      <c r="I24" s="39"/>
      <c r="J24" s="40">
        <v>1.4E-2</v>
      </c>
      <c r="K24" s="188">
        <f t="shared" ref="K24" si="0">+IF(E24&lt;=0.12,(J26),(IF(E24&lt;0.16,((J25+2*J26+J27)/4),IF(E24&gt;=0.16,((J24+3*J25+2*J26+3*J27+J28)/10)))))</f>
        <v>0.10300000000000001</v>
      </c>
      <c r="L24" s="188">
        <f>ROUND(+(D19+D24)/2*(C24-C19),3)</f>
        <v>0.13100000000000001</v>
      </c>
      <c r="M24" s="188">
        <f t="shared" ref="M24" si="1">ROUND(+K24*L24,4)</f>
        <v>1.35E-2</v>
      </c>
      <c r="N24" s="191">
        <f t="shared" ref="N24" si="2">ROUND(+M24/$M$113*100,2)</f>
        <v>0.57999999999999996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>
        <f t="shared" ref="G25" si="3">IF(E24&lt;0.125,"NA",IF(0.125&lt;=E24,(0.2*E24)))</f>
        <v>0.05</v>
      </c>
      <c r="H25" s="43"/>
      <c r="I25" s="44"/>
      <c r="J25" s="45">
        <v>7.0999999999999994E-2</v>
      </c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 t="shared" ref="G26" si="4">+E24*0.4</f>
        <v>0.1</v>
      </c>
      <c r="H26" s="43"/>
      <c r="I26" s="44"/>
      <c r="J26" s="45">
        <v>0.13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>
        <f t="shared" ref="G27" si="5">IF(E24&lt;0.125,"NA",IF(0.125&lt;=E24,(0.8*E24)))</f>
        <v>0.2</v>
      </c>
      <c r="H27" s="43"/>
      <c r="I27" s="44"/>
      <c r="J27" s="45">
        <v>0.14899999999999999</v>
      </c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 t="shared" ref="G28" si="6">+E24</f>
        <v>0.25</v>
      </c>
      <c r="H28" s="48"/>
      <c r="I28" s="49"/>
      <c r="J28" s="50">
        <v>9.6000000000000002E-2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v>3</v>
      </c>
      <c r="C29" s="211">
        <f t="shared" ref="C29" si="7">+C24+$N$12</f>
        <v>2.7</v>
      </c>
      <c r="D29" s="188">
        <v>0.34</v>
      </c>
      <c r="E29" s="188">
        <v>0.31</v>
      </c>
      <c r="F29" s="36" t="s">
        <v>75</v>
      </c>
      <c r="G29" s="37">
        <v>0</v>
      </c>
      <c r="H29" s="38"/>
      <c r="I29" s="39"/>
      <c r="J29" s="40">
        <v>0.14899999999999999</v>
      </c>
      <c r="K29" s="188">
        <f t="shared" ref="K29" si="8">+IF(E29&lt;=0.12,(J31),(IF(E29&lt;0.16,((J30+2*J31+J32)/4),IF(E29&gt;=0.16,((J29+3*J30+2*J31+3*J32+J33)/10)))))</f>
        <v>0.1258</v>
      </c>
      <c r="L29" s="188">
        <f t="shared" ref="L29" si="9">ROUND(+(D24+D29)/2*(C29-C24),3)</f>
        <v>0.153</v>
      </c>
      <c r="M29" s="188">
        <f t="shared" ref="M29" si="10">ROUND(+K29*L29,4)</f>
        <v>1.9199999999999998E-2</v>
      </c>
      <c r="N29" s="191">
        <f t="shared" ref="N29" si="11">ROUND(+M29/$M$113*100,2)</f>
        <v>0.82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 t="shared" ref="G30" si="12">IF(E29&lt;0.125,"NA",IF(0.125&lt;=E29,(0.2*E29)))</f>
        <v>6.2E-2</v>
      </c>
      <c r="H30" s="43"/>
      <c r="I30" s="44"/>
      <c r="J30" s="45">
        <v>8.2000000000000003E-2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 t="shared" ref="G31" si="13">+E29*0.4</f>
        <v>0.124</v>
      </c>
      <c r="H31" s="43"/>
      <c r="I31" s="44"/>
      <c r="J31" s="45">
        <v>8.2000000000000003E-2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 t="shared" ref="G32" si="14">IF(E29&lt;0.125,"NA",IF(0.125&lt;=E29,(0.8*E29)))</f>
        <v>0.248</v>
      </c>
      <c r="H32" s="43"/>
      <c r="I32" s="44"/>
      <c r="J32" s="45">
        <v>0.183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 t="shared" ref="G33" si="15">+E29</f>
        <v>0.31</v>
      </c>
      <c r="H33" s="48"/>
      <c r="I33" s="49"/>
      <c r="J33" s="50">
        <v>0.15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v>4</v>
      </c>
      <c r="C34" s="211">
        <f t="shared" ref="C34" si="16">+C29+$N$12</f>
        <v>3.2</v>
      </c>
      <c r="D34" s="188">
        <v>0.4</v>
      </c>
      <c r="E34" s="188">
        <v>0.39</v>
      </c>
      <c r="F34" s="36" t="s">
        <v>75</v>
      </c>
      <c r="G34" s="37">
        <v>0</v>
      </c>
      <c r="H34" s="38"/>
      <c r="I34" s="39"/>
      <c r="J34" s="40">
        <v>0.24</v>
      </c>
      <c r="K34" s="188">
        <f t="shared" ref="K34" si="17">+IF(E34&lt;=0.12,(J36),(IF(E34&lt;0.16,((J35+2*J36+J37)/4),IF(E34&gt;=0.16,((J34+3*J35+2*J36+3*J37+J38)/10)))))</f>
        <v>0.26769999999999999</v>
      </c>
      <c r="L34" s="188">
        <f>ROUND(+(D29+D34)/2*(C34-C29),3)</f>
        <v>0.185</v>
      </c>
      <c r="M34" s="188">
        <f t="shared" ref="M34" si="18">ROUND(+K34*L34,4)</f>
        <v>4.9500000000000002E-2</v>
      </c>
      <c r="N34" s="191">
        <f t="shared" ref="N34" si="19">ROUND(+M34/$M$113*100,2)</f>
        <v>2.11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>
        <f t="shared" ref="G35" si="20">IF(E34&lt;0.125,"NA",IF(0.125&lt;=E34,(0.2*E34)))</f>
        <v>7.8000000000000014E-2</v>
      </c>
      <c r="H35" s="43"/>
      <c r="I35" s="44"/>
      <c r="J35" s="45">
        <v>0.245</v>
      </c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 t="shared" ref="G36" si="21">+E34*0.4</f>
        <v>0.15600000000000003</v>
      </c>
      <c r="H36" s="43"/>
      <c r="I36" s="44"/>
      <c r="J36" s="45">
        <v>0.27200000000000002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>
        <f t="shared" ref="G37" si="22">IF(E34&lt;0.125,"NA",IF(0.125&lt;=E34,(0.8*E34)))</f>
        <v>0.31200000000000006</v>
      </c>
      <c r="H37" s="43"/>
      <c r="I37" s="44"/>
      <c r="J37" s="45">
        <v>0.28199999999999997</v>
      </c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 t="shared" ref="G38" si="23">+E34</f>
        <v>0.39</v>
      </c>
      <c r="H38" s="48"/>
      <c r="I38" s="49"/>
      <c r="J38" s="50">
        <v>0.312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v>5</v>
      </c>
      <c r="C39" s="211">
        <f t="shared" ref="C39" si="24">+C34+$N$12</f>
        <v>3.7</v>
      </c>
      <c r="D39" s="188">
        <v>0.48499999999999999</v>
      </c>
      <c r="E39" s="188">
        <v>0.47</v>
      </c>
      <c r="F39" s="36" t="s">
        <v>75</v>
      </c>
      <c r="G39" s="37">
        <v>0</v>
      </c>
      <c r="H39" s="38"/>
      <c r="I39" s="39"/>
      <c r="J39" s="40">
        <v>0.36799999999999999</v>
      </c>
      <c r="K39" s="188">
        <f t="shared" ref="K39" si="25">+IF(E39&lt;=0.12,(J41),(IF(E39&lt;0.16,((J40+2*J41+J42)/4),IF(E39&gt;=0.16,((J39+3*J40+2*J41+3*J42+J43)/10)))))</f>
        <v>0.79239999999999999</v>
      </c>
      <c r="L39" s="188">
        <f t="shared" ref="L39" si="26">ROUND(+(D34+D39)/2*(C39-C34),3)</f>
        <v>0.221</v>
      </c>
      <c r="M39" s="188">
        <f t="shared" ref="M39" si="27">ROUND(+K39*L39,4)</f>
        <v>0.17510000000000001</v>
      </c>
      <c r="N39" s="191">
        <f t="shared" ref="N39" si="28">ROUND(+M39/$M$113*100,2)</f>
        <v>7.47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>
        <f t="shared" ref="G40" si="29">IF(E39&lt;0.125,"NA",IF(0.125&lt;=E39,(0.2*E39)))</f>
        <v>9.4E-2</v>
      </c>
      <c r="H40" s="43"/>
      <c r="I40" s="44"/>
      <c r="J40" s="45">
        <v>0.78600000000000003</v>
      </c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 t="shared" ref="G41" si="30">+E39*0.4</f>
        <v>0.188</v>
      </c>
      <c r="H41" s="43"/>
      <c r="I41" s="44"/>
      <c r="J41" s="45">
        <v>0.80200000000000005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>
        <f t="shared" ref="G42" si="31">IF(E39&lt;0.125,"NA",IF(0.125&lt;=E39,(0.8*E39)))</f>
        <v>0.376</v>
      </c>
      <c r="H42" s="43"/>
      <c r="I42" s="44"/>
      <c r="J42" s="45">
        <v>0.96399999999999997</v>
      </c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 t="shared" ref="G43" si="32">+E39</f>
        <v>0.47</v>
      </c>
      <c r="H43" s="48"/>
      <c r="I43" s="49"/>
      <c r="J43" s="50">
        <v>0.70199999999999996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v>6</v>
      </c>
      <c r="C44" s="211">
        <f t="shared" ref="C44" si="33">+C39+$N$12</f>
        <v>4.2</v>
      </c>
      <c r="D44" s="188">
        <v>0.49</v>
      </c>
      <c r="E44" s="188">
        <v>0.51500000000000001</v>
      </c>
      <c r="F44" s="36" t="s">
        <v>75</v>
      </c>
      <c r="G44" s="37">
        <v>0</v>
      </c>
      <c r="H44" s="38"/>
      <c r="I44" s="39"/>
      <c r="J44" s="40">
        <v>0.28599999999999998</v>
      </c>
      <c r="K44" s="188">
        <f t="shared" ref="K44" si="34">+IF(E44&lt;=0.12,(J46),(IF(E44&lt;0.16,((J45+2*J46+J47)/4),IF(E44&gt;=0.16,((J44+3*J45+2*J46+3*J47+J48)/10)))))</f>
        <v>0.77410000000000001</v>
      </c>
      <c r="L44" s="188">
        <f t="shared" ref="L44" si="35">ROUND(+(D39+D44)/2*(C44-C39),3)</f>
        <v>0.24399999999999999</v>
      </c>
      <c r="M44" s="188">
        <f t="shared" ref="M44" si="36">ROUND(+K44*L44,4)</f>
        <v>0.18890000000000001</v>
      </c>
      <c r="N44" s="191">
        <f t="shared" ref="N44" si="37">ROUND(+M44/$M$113*100,2)</f>
        <v>8.0500000000000007</v>
      </c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 t="shared" ref="G45" si="38">IF(E44&lt;0.125,"NA",IF(0.125&lt;=E44,(0.2*E44)))</f>
        <v>0.10300000000000001</v>
      </c>
      <c r="H45" s="43"/>
      <c r="I45" s="44"/>
      <c r="J45" s="45">
        <v>0.55600000000000005</v>
      </c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 t="shared" ref="G46" si="39">+E44*0.4</f>
        <v>0.20600000000000002</v>
      </c>
      <c r="H46" s="43"/>
      <c r="I46" s="44"/>
      <c r="J46" s="45">
        <v>0.876</v>
      </c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 t="shared" ref="G47" si="40">IF(E44&lt;0.125,"NA",IF(0.125&lt;=E44,(0.8*E44)))</f>
        <v>0.41200000000000003</v>
      </c>
      <c r="H47" s="43"/>
      <c r="I47" s="44"/>
      <c r="J47" s="45">
        <v>1.0529999999999999</v>
      </c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 t="shared" ref="G48" si="41">+E44</f>
        <v>0.51500000000000001</v>
      </c>
      <c r="H48" s="48"/>
      <c r="I48" s="49"/>
      <c r="J48" s="50">
        <v>0.876</v>
      </c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v>7</v>
      </c>
      <c r="C49" s="211">
        <f t="shared" ref="C49" si="42">+C44+$N$12</f>
        <v>4.7</v>
      </c>
      <c r="D49" s="188">
        <v>0.51</v>
      </c>
      <c r="E49" s="188">
        <v>0.5</v>
      </c>
      <c r="F49" s="36" t="s">
        <v>75</v>
      </c>
      <c r="G49" s="37">
        <v>0</v>
      </c>
      <c r="H49" s="38"/>
      <c r="I49" s="39"/>
      <c r="J49" s="40">
        <v>1.216</v>
      </c>
      <c r="K49" s="188">
        <f t="shared" ref="K49" si="43">+IF(E49&lt;=0.12,(J51),(IF(E49&lt;0.16,((J50+2*J51+J52)/4),IF(E49&gt;=0.16,((J49+3*J50+2*J51+3*J52+J53)/10)))))</f>
        <v>1.3953</v>
      </c>
      <c r="L49" s="188">
        <f t="shared" ref="L49" si="44">ROUND(+(D44+D49)/2*(C49-C44),3)</f>
        <v>0.25</v>
      </c>
      <c r="M49" s="188">
        <f t="shared" ref="M49" si="45">ROUND(+K49*L49,4)</f>
        <v>0.3488</v>
      </c>
      <c r="N49" s="191">
        <f t="shared" ref="N49" si="46">ROUND(+M49/$M$113*100,2)</f>
        <v>14.87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 t="shared" ref="G50" si="47">IF(E49&lt;0.125,"NA",IF(0.125&lt;=E49,(0.2*E49)))</f>
        <v>0.1</v>
      </c>
      <c r="H50" s="43"/>
      <c r="I50" s="44"/>
      <c r="J50" s="45">
        <v>1.343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 t="shared" ref="G51" si="48">+E49*0.4</f>
        <v>0.2</v>
      </c>
      <c r="H51" s="43"/>
      <c r="I51" s="44"/>
      <c r="J51" s="45">
        <v>1.464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 t="shared" ref="G52" si="49">IF(E49&lt;0.125,"NA",IF(0.125&lt;=E49,(0.8*E49)))</f>
        <v>0.4</v>
      </c>
      <c r="H52" s="43"/>
      <c r="I52" s="44"/>
      <c r="J52" s="45">
        <v>1.5049999999999999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 t="shared" ref="G53" si="50">+E49</f>
        <v>0.5</v>
      </c>
      <c r="H53" s="48"/>
      <c r="I53" s="49"/>
      <c r="J53" s="50">
        <v>1.2649999999999999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8">
        <v>8</v>
      </c>
      <c r="C54" s="211">
        <f t="shared" ref="C54" si="51">+C49+$N$12</f>
        <v>5.2</v>
      </c>
      <c r="D54" s="188">
        <v>0.54</v>
      </c>
      <c r="E54" s="188">
        <v>0.48499999999999999</v>
      </c>
      <c r="F54" s="36" t="s">
        <v>75</v>
      </c>
      <c r="G54" s="37">
        <v>0</v>
      </c>
      <c r="H54" s="38"/>
      <c r="I54" s="39"/>
      <c r="J54" s="40">
        <v>0.89300000000000002</v>
      </c>
      <c r="K54" s="188">
        <f t="shared" ref="K54" si="52">+IF(E54&lt;=0.12,(J56),(IF(E54&lt;0.16,((J55+2*J56+J57)/4),IF(E54&gt;=0.16,((J54+3*J55+2*J56+3*J57+J58)/10)))))</f>
        <v>1.0798000000000001</v>
      </c>
      <c r="L54" s="188">
        <f t="shared" ref="L54" si="53">ROUND(+(D49+D54)/2*(C54-C49),3)</f>
        <v>0.26300000000000001</v>
      </c>
      <c r="M54" s="188">
        <f t="shared" ref="M54" si="54">ROUND(+K54*L54,4)</f>
        <v>0.28399999999999997</v>
      </c>
      <c r="N54" s="191">
        <f t="shared" ref="N54" si="55">ROUND(+M54/$M$113*100,2)</f>
        <v>12.11</v>
      </c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>
        <f t="shared" ref="G55" si="56">IF(E54&lt;0.125,"NA",IF(0.125&lt;=E54,(0.2*E54)))</f>
        <v>9.7000000000000003E-2</v>
      </c>
      <c r="H55" s="43"/>
      <c r="I55" s="44"/>
      <c r="J55" s="45">
        <v>0.98399999999999999</v>
      </c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 t="shared" ref="G56" si="57">+E54*0.4</f>
        <v>0.19400000000000001</v>
      </c>
      <c r="H56" s="43"/>
      <c r="I56" s="44"/>
      <c r="J56" s="45">
        <v>1.1619999999999999</v>
      </c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>
        <f t="shared" ref="G57" si="58">IF(E54&lt;0.125,"NA",IF(0.125&lt;=E54,(0.8*E54)))</f>
        <v>0.38800000000000001</v>
      </c>
      <c r="H57" s="43"/>
      <c r="I57" s="44"/>
      <c r="J57" s="45">
        <v>1.272</v>
      </c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 t="shared" ref="G58" si="59">+E54</f>
        <v>0.48499999999999999</v>
      </c>
      <c r="H58" s="48"/>
      <c r="I58" s="49"/>
      <c r="J58" s="50">
        <v>0.81299999999999994</v>
      </c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v>9</v>
      </c>
      <c r="C59" s="211">
        <f t="shared" ref="C59" si="60">+C54+$N$12</f>
        <v>5.7</v>
      </c>
      <c r="D59" s="188">
        <v>0.66</v>
      </c>
      <c r="E59" s="188">
        <v>0.62</v>
      </c>
      <c r="F59" s="36" t="s">
        <v>75</v>
      </c>
      <c r="G59" s="37">
        <v>0</v>
      </c>
      <c r="H59" s="38"/>
      <c r="I59" s="39"/>
      <c r="J59" s="40">
        <v>0.255</v>
      </c>
      <c r="K59" s="188">
        <f t="shared" ref="K59" si="61">+IF(E59&lt;=0.12,(J61),(IF(E59&lt;0.16,((J60+2*J61+J62)/4),IF(E59&gt;=0.16,((J59+3*J60+2*J61+3*J62+J63)/10)))))</f>
        <v>1.4977</v>
      </c>
      <c r="L59" s="188">
        <f t="shared" ref="L59" si="62">ROUND(+(D54+D59)/2*(C59-C54),3)</f>
        <v>0.3</v>
      </c>
      <c r="M59" s="188">
        <f t="shared" ref="M59" si="63">ROUND(+K59*L59,4)</f>
        <v>0.44929999999999998</v>
      </c>
      <c r="N59" s="191">
        <f t="shared" ref="N59" si="64">ROUND(+M59/$M$113*100,2)</f>
        <v>19.16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 t="shared" ref="G60" si="65">IF(E59&lt;0.125,"NA",IF(0.125&lt;=E59,(0.2*E59)))</f>
        <v>0.124</v>
      </c>
      <c r="H60" s="43"/>
      <c r="I60" s="44"/>
      <c r="J60" s="45">
        <v>1.526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 t="shared" ref="G61" si="66">+E59*0.4</f>
        <v>0.248</v>
      </c>
      <c r="H61" s="43"/>
      <c r="I61" s="44"/>
      <c r="J61" s="45">
        <v>1.7070000000000001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 t="shared" ref="G62" si="67">IF(E59&lt;0.125,"NA",IF(0.125&lt;=E59,(0.8*E59)))</f>
        <v>0.496</v>
      </c>
      <c r="H62" s="43"/>
      <c r="I62" s="44"/>
      <c r="J62" s="45">
        <v>1.76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 t="shared" ref="G63" si="68">+E59</f>
        <v>0.62</v>
      </c>
      <c r="H63" s="48"/>
      <c r="I63" s="49"/>
      <c r="J63" s="50">
        <v>1.45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v>10</v>
      </c>
      <c r="C64" s="211">
        <f t="shared" ref="C64" si="69">+C59+$N$12</f>
        <v>6.2</v>
      </c>
      <c r="D64" s="188">
        <v>0.65</v>
      </c>
      <c r="E64" s="188">
        <v>0.67</v>
      </c>
      <c r="F64" s="36" t="s">
        <v>75</v>
      </c>
      <c r="G64" s="37">
        <v>0</v>
      </c>
      <c r="H64" s="38"/>
      <c r="I64" s="39"/>
      <c r="J64" s="40"/>
      <c r="K64" s="188"/>
      <c r="L64" s="188"/>
      <c r="M64" s="188"/>
      <c r="N64" s="191"/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 t="shared" ref="G65" si="70">IF(E64&lt;0.125,"NA",IF(0.125&lt;=E64,(0.2*E64)))</f>
        <v>0.13400000000000001</v>
      </c>
      <c r="H65" s="43"/>
      <c r="I65" s="44"/>
      <c r="J65" s="45"/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 t="shared" ref="G66" si="71">+E64*0.4</f>
        <v>0.26800000000000002</v>
      </c>
      <c r="H66" s="43"/>
      <c r="I66" s="44"/>
      <c r="J66" s="45"/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 t="shared" ref="G67" si="72">IF(E64&lt;0.125,"NA",IF(0.125&lt;=E64,(0.8*E64)))</f>
        <v>0.53600000000000003</v>
      </c>
      <c r="H67" s="43"/>
      <c r="I67" s="44"/>
      <c r="J67" s="45"/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 t="shared" ref="G68" si="73">+E64</f>
        <v>0.67</v>
      </c>
      <c r="H68" s="48"/>
      <c r="I68" s="49"/>
      <c r="J68" s="50"/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v>11</v>
      </c>
      <c r="C69" s="211">
        <f t="shared" ref="C69" si="74">+C64+$N$12</f>
        <v>6.7</v>
      </c>
      <c r="D69" s="188">
        <v>0.47</v>
      </c>
      <c r="E69" s="188">
        <v>0.51</v>
      </c>
      <c r="F69" s="36" t="s">
        <v>75</v>
      </c>
      <c r="G69" s="37">
        <v>0</v>
      </c>
      <c r="H69" s="38"/>
      <c r="I69" s="39"/>
      <c r="J69" s="40">
        <v>0.40200000000000002</v>
      </c>
      <c r="K69" s="188">
        <f t="shared" ref="K69" si="75">+IF(E69&lt;=0.12,(J71),(IF(E69&lt;0.16,((J70+2*J71+J72)/4),IF(E69&gt;=0.16,((J69+3*J70+2*J71+3*J72+J73)/10)))))</f>
        <v>0.81869999999999998</v>
      </c>
      <c r="L69" s="188">
        <f>ROUND(+(D64+D69)/2*(C69-C64),3)</f>
        <v>0.28000000000000003</v>
      </c>
      <c r="M69" s="188">
        <f t="shared" ref="M69" si="76">ROUND(+K69*L69,4)</f>
        <v>0.22919999999999999</v>
      </c>
      <c r="N69" s="191">
        <f t="shared" ref="N69" si="77">ROUND(+M69/$M$113*100,2)</f>
        <v>9.77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>
        <f t="shared" ref="G70" si="78">IF(E69&lt;0.125,"NA",IF(0.125&lt;=E69,(0.2*E69)))</f>
        <v>0.10200000000000001</v>
      </c>
      <c r="H70" s="43"/>
      <c r="I70" s="44"/>
      <c r="J70" s="45">
        <v>0.76</v>
      </c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 t="shared" ref="G71" si="79">+E69*0.4</f>
        <v>0.20400000000000001</v>
      </c>
      <c r="H71" s="43"/>
      <c r="I71" s="44"/>
      <c r="J71" s="45">
        <v>0.86699999999999999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>
        <f t="shared" ref="G72" si="80">IF(E69&lt;0.125,"NA",IF(0.125&lt;=E69,(0.8*E69)))</f>
        <v>0.40800000000000003</v>
      </c>
      <c r="H72" s="43"/>
      <c r="I72" s="44"/>
      <c r="J72" s="45">
        <v>0.98099999999999998</v>
      </c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 t="shared" ref="G73" si="81">+E69</f>
        <v>0.51</v>
      </c>
      <c r="H73" s="48"/>
      <c r="I73" s="49"/>
      <c r="J73" s="50">
        <v>0.82799999999999996</v>
      </c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8">
        <v>12</v>
      </c>
      <c r="C74" s="211">
        <f t="shared" ref="C74" si="82">+C69+$N$12</f>
        <v>7.2</v>
      </c>
      <c r="D74" s="188">
        <v>0.31</v>
      </c>
      <c r="E74" s="188">
        <v>0.51</v>
      </c>
      <c r="F74" s="36" t="s">
        <v>75</v>
      </c>
      <c r="G74" s="37">
        <v>0</v>
      </c>
      <c r="H74" s="38"/>
      <c r="I74" s="39"/>
      <c r="J74" s="40">
        <v>0.10299999999999999</v>
      </c>
      <c r="K74" s="188">
        <f t="shared" ref="K74" si="83">+IF(E74&lt;=0.12,(J76),(IF(E74&lt;0.16,((J75+2*J76+J77)/4),IF(E74&gt;=0.16,((J74+3*J75+2*J76+3*J77+J78)/10)))))</f>
        <v>0.49490000000000001</v>
      </c>
      <c r="L74" s="188">
        <f t="shared" ref="L74" si="84">ROUND(+(D69+D74)/2*(C74-C69),3)</f>
        <v>0.19500000000000001</v>
      </c>
      <c r="M74" s="188">
        <f t="shared" ref="M74" si="85">ROUND(+K74*L74,4)</f>
        <v>9.6500000000000002E-2</v>
      </c>
      <c r="N74" s="191">
        <f t="shared" ref="N74" si="86">ROUND(+M74/$M$113*100,2)</f>
        <v>4.1100000000000003</v>
      </c>
      <c r="O74" s="192"/>
      <c r="P74" s="19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09"/>
      <c r="C75" s="189"/>
      <c r="D75" s="189"/>
      <c r="E75" s="189"/>
      <c r="F75" s="41" t="s">
        <v>76</v>
      </c>
      <c r="G75" s="42">
        <f t="shared" ref="G75" si="87">IF(E74&lt;0.125,"NA",IF(0.125&lt;=E74,(0.2*E74)))</f>
        <v>0.10200000000000001</v>
      </c>
      <c r="H75" s="43"/>
      <c r="I75" s="44"/>
      <c r="J75" s="45">
        <v>0.19400000000000001</v>
      </c>
      <c r="K75" s="189"/>
      <c r="L75" s="189"/>
      <c r="M75" s="189"/>
      <c r="N75" s="189"/>
      <c r="O75" s="189"/>
      <c r="P75" s="19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09"/>
      <c r="C76" s="189"/>
      <c r="D76" s="189"/>
      <c r="E76" s="189"/>
      <c r="F76" s="41" t="s">
        <v>77</v>
      </c>
      <c r="G76" s="42">
        <f t="shared" ref="G76" si="88">+E74*0.4</f>
        <v>0.20400000000000001</v>
      </c>
      <c r="H76" s="43"/>
      <c r="I76" s="44"/>
      <c r="J76" s="45">
        <v>0.46500000000000002</v>
      </c>
      <c r="K76" s="189"/>
      <c r="L76" s="189"/>
      <c r="M76" s="189"/>
      <c r="N76" s="189"/>
      <c r="O76" s="189"/>
      <c r="P76" s="19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09"/>
      <c r="C77" s="189"/>
      <c r="D77" s="189"/>
      <c r="E77" s="189"/>
      <c r="F77" s="41" t="s">
        <v>78</v>
      </c>
      <c r="G77" s="42">
        <f t="shared" ref="G77" si="89">IF(E74&lt;0.125,"NA",IF(0.125&lt;=E74,(0.8*E74)))</f>
        <v>0.40800000000000003</v>
      </c>
      <c r="H77" s="43"/>
      <c r="I77" s="44"/>
      <c r="J77" s="45">
        <v>0.82799999999999996</v>
      </c>
      <c r="K77" s="189"/>
      <c r="L77" s="189"/>
      <c r="M77" s="189"/>
      <c r="N77" s="189"/>
      <c r="O77" s="189"/>
      <c r="P77" s="19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0"/>
      <c r="C78" s="190"/>
      <c r="D78" s="190"/>
      <c r="E78" s="190"/>
      <c r="F78" s="46" t="s">
        <v>79</v>
      </c>
      <c r="G78" s="47">
        <f t="shared" ref="G78" si="90">+E74</f>
        <v>0.51</v>
      </c>
      <c r="H78" s="48"/>
      <c r="I78" s="49"/>
      <c r="J78" s="50">
        <v>0.85</v>
      </c>
      <c r="K78" s="190"/>
      <c r="L78" s="190"/>
      <c r="M78" s="190"/>
      <c r="N78" s="190"/>
      <c r="O78" s="190"/>
      <c r="P78" s="19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8">
        <v>13</v>
      </c>
      <c r="C79" s="211">
        <f t="shared" ref="C79" si="91">+C74+$N$12</f>
        <v>7.7</v>
      </c>
      <c r="D79" s="188">
        <v>0.24</v>
      </c>
      <c r="E79" s="188">
        <v>0.33</v>
      </c>
      <c r="F79" s="36" t="s">
        <v>75</v>
      </c>
      <c r="G79" s="37">
        <v>0</v>
      </c>
      <c r="H79" s="38"/>
      <c r="I79" s="39"/>
      <c r="J79" s="40">
        <v>0.215</v>
      </c>
      <c r="K79" s="188">
        <f t="shared" ref="K79" si="92">+IF(E79&lt;=0.12,(J81),(IF(E79&lt;0.16,((J80+2*J81+J82)/4),IF(E79&gt;=0.16,((J79+3*J80+2*J81+3*J82+J83)/10)))))</f>
        <v>0.57809999999999995</v>
      </c>
      <c r="L79" s="188">
        <f t="shared" ref="L79" si="93">ROUND(+(D74+D79)/2*(C79-C74),3)</f>
        <v>0.13800000000000001</v>
      </c>
      <c r="M79" s="188">
        <f t="shared" ref="M79" si="94">ROUND(+K79*L79,4)</f>
        <v>7.9799999999999996E-2</v>
      </c>
      <c r="N79" s="191">
        <f t="shared" ref="N79" si="95">ROUND(+M79/$M$113*100,2)</f>
        <v>3.4</v>
      </c>
      <c r="O79" s="192"/>
      <c r="P79" s="19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09"/>
      <c r="C80" s="189"/>
      <c r="D80" s="189"/>
      <c r="E80" s="189"/>
      <c r="F80" s="41" t="s">
        <v>76</v>
      </c>
      <c r="G80" s="42">
        <f t="shared" ref="G80" si="96">IF(E79&lt;0.125,"NA",IF(0.125&lt;=E79,(0.2*E79)))</f>
        <v>6.6000000000000003E-2</v>
      </c>
      <c r="H80" s="43"/>
      <c r="I80" s="44"/>
      <c r="J80" s="45">
        <v>0.29399999999999998</v>
      </c>
      <c r="K80" s="189"/>
      <c r="L80" s="189"/>
      <c r="M80" s="189"/>
      <c r="N80" s="189"/>
      <c r="O80" s="189"/>
      <c r="P80" s="19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09"/>
      <c r="C81" s="189"/>
      <c r="D81" s="189"/>
      <c r="E81" s="189"/>
      <c r="F81" s="41" t="s">
        <v>77</v>
      </c>
      <c r="G81" s="42">
        <f t="shared" ref="G81" si="97">+E79*0.4</f>
        <v>0.13200000000000001</v>
      </c>
      <c r="H81" s="43"/>
      <c r="I81" s="44"/>
      <c r="J81" s="45">
        <v>0.66</v>
      </c>
      <c r="K81" s="189"/>
      <c r="L81" s="189"/>
      <c r="M81" s="189"/>
      <c r="N81" s="189"/>
      <c r="O81" s="189"/>
      <c r="P81" s="19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09"/>
      <c r="C82" s="189"/>
      <c r="D82" s="189"/>
      <c r="E82" s="189"/>
      <c r="F82" s="41" t="s">
        <v>78</v>
      </c>
      <c r="G82" s="42">
        <f t="shared" ref="G82" si="98">IF(E79&lt;0.125,"NA",IF(0.125&lt;=E79,(0.8*E79)))</f>
        <v>0.26400000000000001</v>
      </c>
      <c r="H82" s="43"/>
      <c r="I82" s="44"/>
      <c r="J82" s="45">
        <v>0.83699999999999997</v>
      </c>
      <c r="K82" s="189"/>
      <c r="L82" s="189"/>
      <c r="M82" s="189"/>
      <c r="N82" s="189"/>
      <c r="O82" s="189"/>
      <c r="P82" s="19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0"/>
      <c r="C83" s="190"/>
      <c r="D83" s="190"/>
      <c r="E83" s="190"/>
      <c r="F83" s="46" t="s">
        <v>79</v>
      </c>
      <c r="G83" s="47">
        <f t="shared" ref="G83" si="99">+E79</f>
        <v>0.33</v>
      </c>
      <c r="H83" s="48"/>
      <c r="I83" s="49"/>
      <c r="J83" s="50">
        <v>0.85299999999999998</v>
      </c>
      <c r="K83" s="190"/>
      <c r="L83" s="190"/>
      <c r="M83" s="190"/>
      <c r="N83" s="190"/>
      <c r="O83" s="190"/>
      <c r="P83" s="19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8">
        <v>14</v>
      </c>
      <c r="C84" s="211">
        <f t="shared" ref="C84" si="100">+C79+$N$12</f>
        <v>8.1999999999999993</v>
      </c>
      <c r="D84" s="188">
        <v>0.06</v>
      </c>
      <c r="E84" s="188">
        <v>0.09</v>
      </c>
      <c r="F84" s="36" t="s">
        <v>75</v>
      </c>
      <c r="G84" s="37">
        <v>0</v>
      </c>
      <c r="H84" s="38"/>
      <c r="I84" s="39"/>
      <c r="J84" s="40">
        <v>0.82499999999999996</v>
      </c>
      <c r="K84" s="188">
        <f t="shared" ref="K84" si="101">+IF(E84&lt;=0.12,(J86),(IF(E84&lt;0.16,((J85+2*J86+J87)/4),IF(E84&gt;=0.16,((J84+3*J85+2*J86+3*J87+J88)/10)))))</f>
        <v>0.85799999999999998</v>
      </c>
      <c r="L84" s="188">
        <f t="shared" ref="L84" si="102">ROUND(+(D79+D84)/2*(C84-C79),3)</f>
        <v>7.4999999999999997E-2</v>
      </c>
      <c r="M84" s="188">
        <f t="shared" ref="M84" si="103">ROUND(+K84*L84,4)</f>
        <v>6.4399999999999999E-2</v>
      </c>
      <c r="N84" s="191">
        <f t="shared" ref="N84" si="104">ROUND(+M84/$M$113*100,2)</f>
        <v>2.75</v>
      </c>
      <c r="O84" s="192"/>
      <c r="P84" s="193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09"/>
      <c r="C85" s="189"/>
      <c r="D85" s="189"/>
      <c r="E85" s="189"/>
      <c r="F85" s="41" t="s">
        <v>76</v>
      </c>
      <c r="G85" s="42" t="str">
        <f t="shared" ref="G85" si="105">IF(E84&lt;0.125,"NA",IF(0.125&lt;=E84,(0.2*E84)))</f>
        <v>NA</v>
      </c>
      <c r="H85" s="43"/>
      <c r="I85" s="44"/>
      <c r="J85" s="45"/>
      <c r="K85" s="189"/>
      <c r="L85" s="189"/>
      <c r="M85" s="189"/>
      <c r="N85" s="189"/>
      <c r="O85" s="189"/>
      <c r="P85" s="194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09"/>
      <c r="C86" s="189"/>
      <c r="D86" s="189"/>
      <c r="E86" s="189"/>
      <c r="F86" s="41" t="s">
        <v>77</v>
      </c>
      <c r="G86" s="42">
        <f t="shared" ref="G86" si="106">+E84*0.4</f>
        <v>3.5999999999999997E-2</v>
      </c>
      <c r="H86" s="43"/>
      <c r="I86" s="44"/>
      <c r="J86" s="45">
        <v>0.85799999999999998</v>
      </c>
      <c r="K86" s="189"/>
      <c r="L86" s="189"/>
      <c r="M86" s="189"/>
      <c r="N86" s="189"/>
      <c r="O86" s="189"/>
      <c r="P86" s="194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09"/>
      <c r="C87" s="189"/>
      <c r="D87" s="189"/>
      <c r="E87" s="189"/>
      <c r="F87" s="41" t="s">
        <v>78</v>
      </c>
      <c r="G87" s="42" t="str">
        <f t="shared" ref="G87" si="107">IF(E84&lt;0.125,"NA",IF(0.125&lt;=E84,(0.8*E84)))</f>
        <v>NA</v>
      </c>
      <c r="H87" s="43"/>
      <c r="I87" s="44"/>
      <c r="J87" s="45"/>
      <c r="K87" s="189"/>
      <c r="L87" s="189"/>
      <c r="M87" s="189"/>
      <c r="N87" s="189"/>
      <c r="O87" s="189"/>
      <c r="P87" s="194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0"/>
      <c r="C88" s="190"/>
      <c r="D88" s="190"/>
      <c r="E88" s="190"/>
      <c r="F88" s="46" t="s">
        <v>79</v>
      </c>
      <c r="G88" s="47">
        <f t="shared" ref="G88" si="108">+E84</f>
        <v>0.09</v>
      </c>
      <c r="H88" s="48"/>
      <c r="I88" s="49"/>
      <c r="J88" s="50">
        <v>0.82499999999999996</v>
      </c>
      <c r="K88" s="190"/>
      <c r="L88" s="190"/>
      <c r="M88" s="190"/>
      <c r="N88" s="190"/>
      <c r="O88" s="190"/>
      <c r="P88" s="195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8">
        <v>15</v>
      </c>
      <c r="C89" s="211">
        <f>+C84+0.4</f>
        <v>8.6</v>
      </c>
      <c r="D89" s="188">
        <v>0.14000000000000001</v>
      </c>
      <c r="E89" s="188">
        <v>0.22</v>
      </c>
      <c r="F89" s="36" t="s">
        <v>75</v>
      </c>
      <c r="G89" s="37">
        <v>0</v>
      </c>
      <c r="H89" s="38"/>
      <c r="I89" s="39"/>
      <c r="J89" s="40">
        <v>0.38800000000000001</v>
      </c>
      <c r="K89" s="188">
        <f t="shared" ref="K89" si="109">+IF(E89&lt;=0.12,(J91),(IF(E89&lt;0.16,((J90+2*J91+J92)/4),IF(E89&gt;=0.16,((J89+3*J90+2*J91+3*J92+J93)/10)))))</f>
        <v>0.59030000000000005</v>
      </c>
      <c r="L89" s="188">
        <f t="shared" ref="L89" si="110">ROUND(+(D84+D89)/2*(C89-C84),3)</f>
        <v>0.04</v>
      </c>
      <c r="M89" s="188">
        <f t="shared" ref="M89" si="111">ROUND(+K89*L89,4)</f>
        <v>2.3599999999999999E-2</v>
      </c>
      <c r="N89" s="191">
        <f t="shared" ref="N89" si="112">ROUND(+M89/$M$113*100,2)</f>
        <v>1.01</v>
      </c>
      <c r="O89" s="192"/>
      <c r="P89" s="193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09"/>
      <c r="C90" s="189"/>
      <c r="D90" s="189"/>
      <c r="E90" s="189"/>
      <c r="F90" s="41" t="s">
        <v>76</v>
      </c>
      <c r="G90" s="42">
        <f t="shared" ref="G90" si="113">IF(E89&lt;0.125,"NA",IF(0.125&lt;=E89,(0.2*E89)))</f>
        <v>4.4000000000000004E-2</v>
      </c>
      <c r="H90" s="43"/>
      <c r="I90" s="44"/>
      <c r="J90" s="45">
        <v>0.58499999999999996</v>
      </c>
      <c r="K90" s="189"/>
      <c r="L90" s="189"/>
      <c r="M90" s="189"/>
      <c r="N90" s="189"/>
      <c r="O90" s="189"/>
      <c r="P90" s="194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09"/>
      <c r="C91" s="189"/>
      <c r="D91" s="189"/>
      <c r="E91" s="189"/>
      <c r="F91" s="41" t="s">
        <v>77</v>
      </c>
      <c r="G91" s="42">
        <f t="shared" ref="G91" si="114">+E89*0.4</f>
        <v>8.8000000000000009E-2</v>
      </c>
      <c r="H91" s="43"/>
      <c r="I91" s="44"/>
      <c r="J91" s="45">
        <v>0.59099999999999997</v>
      </c>
      <c r="K91" s="189"/>
      <c r="L91" s="189"/>
      <c r="M91" s="189"/>
      <c r="N91" s="189"/>
      <c r="O91" s="189"/>
      <c r="P91" s="194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09"/>
      <c r="C92" s="189"/>
      <c r="D92" s="189"/>
      <c r="E92" s="189"/>
      <c r="F92" s="41" t="s">
        <v>78</v>
      </c>
      <c r="G92" s="42">
        <f t="shared" ref="G92" si="115">IF(E89&lt;0.125,"NA",IF(0.125&lt;=E89,(0.8*E89)))</f>
        <v>0.17600000000000002</v>
      </c>
      <c r="H92" s="43"/>
      <c r="I92" s="44"/>
      <c r="J92" s="45">
        <v>0.68300000000000005</v>
      </c>
      <c r="K92" s="189"/>
      <c r="L92" s="189"/>
      <c r="M92" s="189"/>
      <c r="N92" s="189"/>
      <c r="O92" s="189"/>
      <c r="P92" s="194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0"/>
      <c r="C93" s="190"/>
      <c r="D93" s="190"/>
      <c r="E93" s="190"/>
      <c r="F93" s="46" t="s">
        <v>79</v>
      </c>
      <c r="G93" s="47">
        <f t="shared" ref="G93" si="116">+E89</f>
        <v>0.22</v>
      </c>
      <c r="H93" s="48"/>
      <c r="I93" s="49"/>
      <c r="J93" s="50">
        <v>0.52900000000000003</v>
      </c>
      <c r="K93" s="190"/>
      <c r="L93" s="190"/>
      <c r="M93" s="190"/>
      <c r="N93" s="190"/>
      <c r="O93" s="190"/>
      <c r="P93" s="195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" customFormat="1" ht="13.5" customHeight="1" x14ac:dyDescent="0.2">
      <c r="B94" s="196" t="s">
        <v>28</v>
      </c>
      <c r="C94" s="199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1"/>
    </row>
    <row r="95" spans="1:26" s="3" customFormat="1" ht="14.1" customHeight="1" x14ac:dyDescent="0.2">
      <c r="B95" s="197"/>
      <c r="C95" s="202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4"/>
    </row>
    <row r="96" spans="1:26" s="3" customFormat="1" ht="14.1" customHeight="1" x14ac:dyDescent="0.2">
      <c r="B96" s="197"/>
      <c r="C96" s="202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4"/>
    </row>
    <row r="97" spans="1:26" s="3" customFormat="1" ht="14.1" customHeight="1" x14ac:dyDescent="0.2">
      <c r="B97" s="197"/>
      <c r="C97" s="202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4"/>
    </row>
    <row r="98" spans="1:26" s="3" customFormat="1" ht="14.1" customHeight="1" x14ac:dyDescent="0.2">
      <c r="B98" s="197"/>
      <c r="C98" s="202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4"/>
    </row>
    <row r="99" spans="1:26" s="3" customFormat="1" ht="14.1" customHeight="1" thickBot="1" x14ac:dyDescent="0.25">
      <c r="B99" s="198"/>
      <c r="C99" s="205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7"/>
    </row>
    <row r="100" spans="1:26" s="3" customFormat="1" ht="28.5" customHeight="1" thickBot="1" x14ac:dyDescent="0.25">
      <c r="A100" s="51"/>
      <c r="B100" s="52" t="s">
        <v>80</v>
      </c>
      <c r="C100" s="175" t="s">
        <v>81</v>
      </c>
      <c r="D100" s="175"/>
      <c r="E100" s="175"/>
      <c r="F100" s="175"/>
      <c r="G100" s="175"/>
      <c r="H100" s="176"/>
      <c r="I100" s="177"/>
      <c r="J100" s="52" t="s">
        <v>82</v>
      </c>
      <c r="K100" s="175" t="s">
        <v>83</v>
      </c>
      <c r="L100" s="175"/>
      <c r="M100" s="175"/>
      <c r="N100" s="175"/>
      <c r="O100" s="175"/>
      <c r="P100" s="176"/>
    </row>
    <row r="101" spans="1:26" s="3" customFormat="1" ht="28.5" customHeight="1" thickBot="1" x14ac:dyDescent="0.25">
      <c r="B101" s="53" t="s">
        <v>84</v>
      </c>
      <c r="C101" s="179" t="s">
        <v>85</v>
      </c>
      <c r="D101" s="179"/>
      <c r="E101" s="179"/>
      <c r="F101" s="179"/>
      <c r="G101" s="179"/>
      <c r="H101" s="180"/>
      <c r="I101" s="178"/>
      <c r="J101" s="53" t="s">
        <v>86</v>
      </c>
      <c r="K101" s="179" t="s">
        <v>87</v>
      </c>
      <c r="L101" s="179"/>
      <c r="M101" s="179"/>
      <c r="N101" s="179"/>
      <c r="O101" s="179"/>
      <c r="P101" s="180"/>
    </row>
    <row r="102" spans="1:26" s="91" customFormat="1" ht="13.5" customHeight="1" x14ac:dyDescent="0.25">
      <c r="A102" s="54"/>
      <c r="B102" s="181">
        <v>10</v>
      </c>
      <c r="C102" s="184">
        <f>C59</f>
        <v>5.7</v>
      </c>
      <c r="D102" s="186">
        <f>D59</f>
        <v>0.66</v>
      </c>
      <c r="E102" s="186">
        <f>E64</f>
        <v>0.67</v>
      </c>
      <c r="F102" s="55" t="s">
        <v>75</v>
      </c>
      <c r="G102" s="55">
        <v>0.01</v>
      </c>
      <c r="H102" s="56"/>
      <c r="I102" s="57"/>
      <c r="J102" s="58">
        <v>0.52500000000000002</v>
      </c>
      <c r="K102" s="187">
        <f>+AVERAGE(J102:J112)</f>
        <v>0.94409090909090887</v>
      </c>
      <c r="L102" s="166">
        <f>ROUND(+(D102+D107)/2*(C107-C102),3)</f>
        <v>0.32800000000000001</v>
      </c>
      <c r="M102" s="169">
        <f>ROUND(+K102*L102,4)</f>
        <v>0.30969999999999998</v>
      </c>
      <c r="N102" s="166">
        <f>ROUND(+M102/$M$113*100,2)</f>
        <v>13.2</v>
      </c>
      <c r="O102" s="166"/>
      <c r="P102" s="170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s="91" customFormat="1" ht="13.5" customHeight="1" x14ac:dyDescent="0.25">
      <c r="A103" s="54"/>
      <c r="B103" s="182"/>
      <c r="C103" s="167"/>
      <c r="D103" s="167"/>
      <c r="E103" s="167"/>
      <c r="F103" s="60" t="s">
        <v>88</v>
      </c>
      <c r="G103" s="61">
        <f>+E102*0.1</f>
        <v>6.7000000000000004E-2</v>
      </c>
      <c r="H103" s="62"/>
      <c r="I103" s="63"/>
      <c r="J103" s="64">
        <v>0.41199999999999998</v>
      </c>
      <c r="K103" s="167"/>
      <c r="L103" s="167"/>
      <c r="M103" s="167"/>
      <c r="N103" s="167"/>
      <c r="O103" s="167"/>
      <c r="P103" s="171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s="91" customFormat="1" ht="13.5" customHeight="1" x14ac:dyDescent="0.25">
      <c r="A104" s="54"/>
      <c r="B104" s="182"/>
      <c r="C104" s="167"/>
      <c r="D104" s="167"/>
      <c r="E104" s="167"/>
      <c r="F104" s="60" t="s">
        <v>89</v>
      </c>
      <c r="G104" s="61">
        <f>+E102*0.2</f>
        <v>0.13400000000000001</v>
      </c>
      <c r="H104" s="62"/>
      <c r="I104" s="63"/>
      <c r="J104" s="64">
        <v>0.81299999999999994</v>
      </c>
      <c r="K104" s="167"/>
      <c r="L104" s="167"/>
      <c r="M104" s="167"/>
      <c r="N104" s="167"/>
      <c r="O104" s="167"/>
      <c r="P104" s="171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s="91" customFormat="1" ht="13.5" customHeight="1" x14ac:dyDescent="0.25">
      <c r="A105" s="54"/>
      <c r="B105" s="182"/>
      <c r="C105" s="167"/>
      <c r="D105" s="167"/>
      <c r="E105" s="167"/>
      <c r="F105" s="60" t="s">
        <v>90</v>
      </c>
      <c r="G105" s="61">
        <f>+E102*0.3</f>
        <v>0.20100000000000001</v>
      </c>
      <c r="H105" s="62"/>
      <c r="I105" s="63"/>
      <c r="J105" s="64">
        <v>0.90300000000000002</v>
      </c>
      <c r="K105" s="167"/>
      <c r="L105" s="167"/>
      <c r="M105" s="167"/>
      <c r="N105" s="167"/>
      <c r="O105" s="167"/>
      <c r="P105" s="171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s="91" customFormat="1" ht="13.5" customHeight="1" x14ac:dyDescent="0.25">
      <c r="A106" s="54"/>
      <c r="B106" s="182"/>
      <c r="C106" s="185"/>
      <c r="D106" s="185"/>
      <c r="E106" s="167"/>
      <c r="F106" s="60" t="s">
        <v>91</v>
      </c>
      <c r="G106" s="61">
        <f>+E102*0.4</f>
        <v>0.26800000000000002</v>
      </c>
      <c r="H106" s="62"/>
      <c r="I106" s="63"/>
      <c r="J106" s="64">
        <v>0.873</v>
      </c>
      <c r="K106" s="167"/>
      <c r="L106" s="167"/>
      <c r="M106" s="167"/>
      <c r="N106" s="167"/>
      <c r="O106" s="167"/>
      <c r="P106" s="171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s="91" customFormat="1" ht="13.5" customHeight="1" x14ac:dyDescent="0.25">
      <c r="A107" s="54"/>
      <c r="B107" s="182"/>
      <c r="C107" s="173">
        <f>C64</f>
        <v>6.2</v>
      </c>
      <c r="D107" s="174">
        <f>D64</f>
        <v>0.65</v>
      </c>
      <c r="E107" s="167"/>
      <c r="F107" s="60" t="s">
        <v>29</v>
      </c>
      <c r="G107" s="61">
        <f>+E102*0.5</f>
        <v>0.33500000000000002</v>
      </c>
      <c r="H107" s="62"/>
      <c r="I107" s="63"/>
      <c r="J107" s="64">
        <v>0.82899999999999996</v>
      </c>
      <c r="K107" s="167"/>
      <c r="L107" s="167"/>
      <c r="M107" s="167"/>
      <c r="N107" s="167"/>
      <c r="O107" s="167"/>
      <c r="P107" s="171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s="91" customFormat="1" ht="13.5" customHeight="1" x14ac:dyDescent="0.25">
      <c r="A108" s="54"/>
      <c r="B108" s="182"/>
      <c r="C108" s="167"/>
      <c r="D108" s="167"/>
      <c r="E108" s="167"/>
      <c r="F108" s="60" t="s">
        <v>92</v>
      </c>
      <c r="G108" s="61">
        <f>+E102*0.6</f>
        <v>0.40200000000000002</v>
      </c>
      <c r="H108" s="62"/>
      <c r="I108" s="63"/>
      <c r="J108" s="64">
        <v>0.99</v>
      </c>
      <c r="K108" s="167"/>
      <c r="L108" s="167"/>
      <c r="M108" s="167"/>
      <c r="N108" s="167"/>
      <c r="O108" s="167"/>
      <c r="P108" s="171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s="91" customFormat="1" ht="13.5" customHeight="1" x14ac:dyDescent="0.25">
      <c r="A109" s="54"/>
      <c r="B109" s="182"/>
      <c r="C109" s="167"/>
      <c r="D109" s="167"/>
      <c r="E109" s="167"/>
      <c r="F109" s="60" t="s">
        <v>93</v>
      </c>
      <c r="G109" s="61">
        <f>+E102*0.7</f>
        <v>0.46899999999999997</v>
      </c>
      <c r="H109" s="62"/>
      <c r="I109" s="63"/>
      <c r="J109" s="64">
        <v>1.153</v>
      </c>
      <c r="K109" s="167"/>
      <c r="L109" s="167"/>
      <c r="M109" s="167"/>
      <c r="N109" s="167"/>
      <c r="O109" s="167"/>
      <c r="P109" s="171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s="91" customFormat="1" ht="13.5" customHeight="1" x14ac:dyDescent="0.25">
      <c r="A110" s="54"/>
      <c r="B110" s="182"/>
      <c r="C110" s="167"/>
      <c r="D110" s="167"/>
      <c r="E110" s="167"/>
      <c r="F110" s="60" t="s">
        <v>94</v>
      </c>
      <c r="G110" s="61">
        <f>+E102*0.8</f>
        <v>0.53600000000000003</v>
      </c>
      <c r="H110" s="62"/>
      <c r="I110" s="63"/>
      <c r="J110" s="64">
        <v>1.3149999999999999</v>
      </c>
      <c r="K110" s="167"/>
      <c r="L110" s="167"/>
      <c r="M110" s="167"/>
      <c r="N110" s="167"/>
      <c r="O110" s="167"/>
      <c r="P110" s="171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s="91" customFormat="1" ht="13.5" customHeight="1" x14ac:dyDescent="0.25">
      <c r="A111" s="54"/>
      <c r="B111" s="182"/>
      <c r="C111" s="167"/>
      <c r="D111" s="167"/>
      <c r="E111" s="167"/>
      <c r="F111" s="60" t="s">
        <v>95</v>
      </c>
      <c r="G111" s="61">
        <f>+E102*0.9</f>
        <v>0.60300000000000009</v>
      </c>
      <c r="H111" s="62"/>
      <c r="I111" s="63"/>
      <c r="J111" s="64">
        <v>1.337</v>
      </c>
      <c r="K111" s="167"/>
      <c r="L111" s="167"/>
      <c r="M111" s="167"/>
      <c r="N111" s="167"/>
      <c r="O111" s="167"/>
      <c r="P111" s="171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s="91" customFormat="1" ht="15.75" thickBot="1" x14ac:dyDescent="0.3">
      <c r="A112" s="54"/>
      <c r="B112" s="183"/>
      <c r="C112" s="168"/>
      <c r="D112" s="168"/>
      <c r="E112" s="168"/>
      <c r="F112" s="65" t="s">
        <v>30</v>
      </c>
      <c r="G112" s="65">
        <f>+E102</f>
        <v>0.67</v>
      </c>
      <c r="H112" s="66"/>
      <c r="I112" s="67"/>
      <c r="J112" s="68">
        <v>1.2350000000000001</v>
      </c>
      <c r="K112" s="168"/>
      <c r="L112" s="168"/>
      <c r="M112" s="168"/>
      <c r="N112" s="168"/>
      <c r="O112" s="168"/>
      <c r="P112" s="172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16" s="3" customFormat="1" ht="12.75" x14ac:dyDescent="0.2">
      <c r="A113" s="8"/>
      <c r="B113" s="154" t="s">
        <v>103</v>
      </c>
      <c r="C113" s="154"/>
      <c r="D113" s="154"/>
      <c r="E113" s="154"/>
      <c r="F113" s="154"/>
      <c r="G113" s="154"/>
      <c r="H113" s="154"/>
      <c r="I113" s="154"/>
      <c r="J113" s="154"/>
      <c r="K113" s="13">
        <f>ROUND(+M113/L113,3)</f>
        <v>0.80800000000000005</v>
      </c>
      <c r="L113" s="12">
        <f>SUM(L19:L112)</f>
        <v>2.9039999999999999</v>
      </c>
      <c r="M113" s="11">
        <f>SUM(M19:M112)</f>
        <v>2.3454000000000002</v>
      </c>
      <c r="N113" s="9">
        <f>ROUND(SUM(N19:N112),0)</f>
        <v>100</v>
      </c>
      <c r="O113" s="156" t="s">
        <v>31</v>
      </c>
      <c r="P113" s="158"/>
    </row>
    <row r="114" spans="1:16" s="3" customFormat="1" ht="15" customHeight="1" thickBot="1" x14ac:dyDescent="0.25">
      <c r="A114" s="8"/>
      <c r="B114" s="155"/>
      <c r="C114" s="155"/>
      <c r="D114" s="155"/>
      <c r="E114" s="155"/>
      <c r="F114" s="155"/>
      <c r="G114" s="155"/>
      <c r="H114" s="155"/>
      <c r="I114" s="155"/>
      <c r="J114" s="155"/>
      <c r="K114" s="10" t="s">
        <v>32</v>
      </c>
      <c r="L114" s="10" t="s">
        <v>48</v>
      </c>
      <c r="M114" s="10" t="s">
        <v>100</v>
      </c>
      <c r="N114" s="10" t="s">
        <v>33</v>
      </c>
      <c r="O114" s="157"/>
      <c r="P114" s="159"/>
    </row>
    <row r="115" spans="1:16" ht="15" customHeight="1" thickBot="1" x14ac:dyDescent="0.3">
      <c r="A115" s="93"/>
      <c r="B115" s="160" t="s">
        <v>96</v>
      </c>
      <c r="C115" s="161"/>
      <c r="D115" s="161"/>
      <c r="E115" s="161"/>
      <c r="F115" s="162"/>
      <c r="G115" s="160" t="s">
        <v>97</v>
      </c>
      <c r="H115" s="161"/>
      <c r="I115" s="161"/>
      <c r="J115" s="161"/>
      <c r="K115" s="162"/>
      <c r="L115" s="163" t="s">
        <v>49</v>
      </c>
      <c r="M115" s="164"/>
      <c r="N115" s="164"/>
      <c r="O115" s="164"/>
      <c r="P115" s="165"/>
    </row>
    <row r="116" spans="1:16" ht="15" customHeight="1" x14ac:dyDescent="0.25">
      <c r="A116" s="93"/>
      <c r="B116" s="124"/>
      <c r="C116" s="125"/>
      <c r="D116" s="125"/>
      <c r="E116" s="125"/>
      <c r="F116" s="126"/>
      <c r="G116" s="124"/>
      <c r="H116" s="125"/>
      <c r="I116" s="125"/>
      <c r="J116" s="125"/>
      <c r="K116" s="126"/>
      <c r="L116" s="133" t="s">
        <v>98</v>
      </c>
      <c r="M116" s="134"/>
      <c r="N116" s="134"/>
      <c r="O116" s="135">
        <f>+AVERAGE(E18:E93)</f>
        <v>0.40366666666666667</v>
      </c>
      <c r="P116" s="136"/>
    </row>
    <row r="117" spans="1:16" ht="15" customHeight="1" thickBot="1" x14ac:dyDescent="0.3">
      <c r="A117" s="93"/>
      <c r="B117" s="127"/>
      <c r="C117" s="128"/>
      <c r="D117" s="128"/>
      <c r="E117" s="128"/>
      <c r="F117" s="129"/>
      <c r="G117" s="127"/>
      <c r="H117" s="128"/>
      <c r="I117" s="128"/>
      <c r="J117" s="128"/>
      <c r="K117" s="129"/>
      <c r="L117" s="137" t="s">
        <v>99</v>
      </c>
      <c r="M117" s="138"/>
      <c r="N117" s="138"/>
      <c r="O117" s="139">
        <f>MAX(E18:E93)</f>
        <v>0.67</v>
      </c>
      <c r="P117" s="140"/>
    </row>
    <row r="118" spans="1:16" ht="18.600000000000001" customHeight="1" x14ac:dyDescent="0.25">
      <c r="A118" s="94"/>
      <c r="B118" s="127"/>
      <c r="C118" s="128"/>
      <c r="D118" s="128"/>
      <c r="E118" s="128"/>
      <c r="F118" s="129"/>
      <c r="G118" s="127"/>
      <c r="H118" s="128"/>
      <c r="I118" s="128"/>
      <c r="J118" s="128"/>
      <c r="K118" s="129"/>
      <c r="L118" s="141"/>
      <c r="M118" s="142"/>
      <c r="N118" s="142"/>
      <c r="O118" s="142"/>
      <c r="P118" s="143"/>
    </row>
    <row r="119" spans="1:16" ht="42" customHeight="1" x14ac:dyDescent="0.25">
      <c r="A119" s="95"/>
      <c r="B119" s="127"/>
      <c r="C119" s="128"/>
      <c r="D119" s="128"/>
      <c r="E119" s="128"/>
      <c r="F119" s="129"/>
      <c r="G119" s="127"/>
      <c r="H119" s="128"/>
      <c r="I119" s="128"/>
      <c r="J119" s="128"/>
      <c r="K119" s="129"/>
      <c r="L119" s="144"/>
      <c r="M119" s="145"/>
      <c r="N119" s="145"/>
      <c r="O119" s="145"/>
      <c r="P119" s="146"/>
    </row>
    <row r="120" spans="1:16" ht="15" customHeight="1" thickBot="1" x14ac:dyDescent="0.3">
      <c r="A120" s="93"/>
      <c r="B120" s="127"/>
      <c r="C120" s="128"/>
      <c r="D120" s="128"/>
      <c r="E120" s="128"/>
      <c r="F120" s="129"/>
      <c r="G120" s="127"/>
      <c r="H120" s="128"/>
      <c r="I120" s="128"/>
      <c r="J120" s="128"/>
      <c r="K120" s="129"/>
      <c r="L120" s="147"/>
      <c r="M120" s="148"/>
      <c r="N120" s="148"/>
      <c r="O120" s="148"/>
      <c r="P120" s="149"/>
    </row>
    <row r="121" spans="1:16" ht="22.5" customHeight="1" thickBot="1" x14ac:dyDescent="0.3">
      <c r="A121" s="93"/>
      <c r="B121" s="127"/>
      <c r="C121" s="128"/>
      <c r="D121" s="128"/>
      <c r="E121" s="128"/>
      <c r="F121" s="129"/>
      <c r="G121" s="127"/>
      <c r="H121" s="128"/>
      <c r="I121" s="128"/>
      <c r="J121" s="128"/>
      <c r="K121" s="129"/>
      <c r="L121" s="150" t="s">
        <v>34</v>
      </c>
      <c r="M121" s="151"/>
      <c r="N121" s="151"/>
      <c r="O121" s="151"/>
      <c r="P121" s="90">
        <v>8.35</v>
      </c>
    </row>
    <row r="122" spans="1:16" ht="32.25" customHeight="1" thickBot="1" x14ac:dyDescent="0.3">
      <c r="A122" s="93"/>
      <c r="B122" s="130"/>
      <c r="C122" s="131"/>
      <c r="D122" s="131"/>
      <c r="E122" s="131"/>
      <c r="F122" s="132"/>
      <c r="G122" s="130"/>
      <c r="H122" s="131"/>
      <c r="I122" s="131"/>
      <c r="J122" s="131"/>
      <c r="K122" s="132"/>
      <c r="L122" s="152" t="s">
        <v>102</v>
      </c>
      <c r="M122" s="153"/>
      <c r="N122" s="153"/>
      <c r="O122" s="153"/>
      <c r="P122" s="90" t="s">
        <v>110</v>
      </c>
    </row>
    <row r="123" spans="1:16" ht="23.45" customHeight="1" thickBot="1" x14ac:dyDescent="0.3">
      <c r="A123" s="5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</row>
    <row r="124" spans="1:16" ht="15.75" thickBot="1" x14ac:dyDescent="0.3">
      <c r="A124" s="115" t="s">
        <v>35</v>
      </c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7"/>
    </row>
    <row r="125" spans="1:16" ht="159" customHeight="1" thickBot="1" x14ac:dyDescent="0.3">
      <c r="A125" s="4"/>
      <c r="B125" s="118"/>
      <c r="C125" s="119"/>
      <c r="D125" s="119"/>
      <c r="E125" s="119"/>
      <c r="F125" s="300"/>
      <c r="G125" s="118"/>
      <c r="H125" s="119"/>
      <c r="I125" s="119"/>
      <c r="J125" s="119"/>
      <c r="K125" s="300"/>
      <c r="L125" s="118"/>
      <c r="M125" s="119"/>
      <c r="N125" s="119"/>
      <c r="O125" s="119"/>
      <c r="P125" s="120"/>
    </row>
    <row r="126" spans="1:16" ht="21.75" customHeight="1" thickBot="1" x14ac:dyDescent="0.3">
      <c r="A126" s="4"/>
      <c r="B126" s="121" t="s">
        <v>120</v>
      </c>
      <c r="C126" s="122"/>
      <c r="D126" s="122"/>
      <c r="E126" s="122"/>
      <c r="F126" s="301"/>
      <c r="G126" s="121" t="s">
        <v>121</v>
      </c>
      <c r="H126" s="122"/>
      <c r="I126" s="122"/>
      <c r="J126" s="122"/>
      <c r="K126" s="301"/>
      <c r="L126" s="121" t="s">
        <v>113</v>
      </c>
      <c r="M126" s="122"/>
      <c r="N126" s="122"/>
      <c r="O126" s="122"/>
      <c r="P126" s="123"/>
    </row>
    <row r="127" spans="1:16" s="7" customFormat="1" ht="16.899999999999999" customHeight="1" thickBot="1" x14ac:dyDescent="0.3">
      <c r="A127" s="6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10"/>
    </row>
    <row r="128" spans="1:16" s="3" customFormat="1" ht="15.75" customHeight="1" thickBot="1" x14ac:dyDescent="0.25">
      <c r="A128" s="111" t="s">
        <v>36</v>
      </c>
      <c r="B128" s="112"/>
      <c r="C128" s="112"/>
      <c r="D128" s="112"/>
      <c r="E128" s="112"/>
      <c r="F128" s="112"/>
      <c r="G128" s="112"/>
      <c r="H128" s="112"/>
      <c r="I128" s="112"/>
      <c r="J128" s="112" t="s">
        <v>37</v>
      </c>
      <c r="K128" s="112"/>
      <c r="L128" s="112"/>
      <c r="M128" s="112"/>
      <c r="N128" s="112"/>
      <c r="O128" s="112"/>
      <c r="P128" s="113"/>
    </row>
  </sheetData>
  <mergeCells count="25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9:M93"/>
    <mergeCell ref="N89:N93"/>
    <mergeCell ref="O89:O93"/>
    <mergeCell ref="P89:P93"/>
    <mergeCell ref="B94:B99"/>
    <mergeCell ref="C94:P99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C100:H100"/>
    <mergeCell ref="I100:I101"/>
    <mergeCell ref="K100:P100"/>
    <mergeCell ref="C101:H101"/>
    <mergeCell ref="K101:P101"/>
    <mergeCell ref="B102:B112"/>
    <mergeCell ref="C102:C106"/>
    <mergeCell ref="D102:D106"/>
    <mergeCell ref="E102:E112"/>
    <mergeCell ref="K102:K112"/>
    <mergeCell ref="B113:J114"/>
    <mergeCell ref="O113:O114"/>
    <mergeCell ref="P113:P114"/>
    <mergeCell ref="B115:F115"/>
    <mergeCell ref="G115:K115"/>
    <mergeCell ref="L115:P115"/>
    <mergeCell ref="L102:L112"/>
    <mergeCell ref="M102:M112"/>
    <mergeCell ref="N102:N112"/>
    <mergeCell ref="O102:O112"/>
    <mergeCell ref="P102:P112"/>
    <mergeCell ref="C107:C112"/>
    <mergeCell ref="D107:D112"/>
    <mergeCell ref="B116:F122"/>
    <mergeCell ref="G116:K122"/>
    <mergeCell ref="L116:N116"/>
    <mergeCell ref="O116:P116"/>
    <mergeCell ref="L117:N117"/>
    <mergeCell ref="O117:P117"/>
    <mergeCell ref="L118:P120"/>
    <mergeCell ref="L121:O121"/>
    <mergeCell ref="L122:O122"/>
    <mergeCell ref="B127:P127"/>
    <mergeCell ref="A128:C128"/>
    <mergeCell ref="D128:I128"/>
    <mergeCell ref="J128:K128"/>
    <mergeCell ref="L128:P128"/>
    <mergeCell ref="B123:P123"/>
    <mergeCell ref="A124:P124"/>
    <mergeCell ref="B125:F125"/>
    <mergeCell ref="G125:K125"/>
    <mergeCell ref="L125:P125"/>
    <mergeCell ref="B126:F126"/>
    <mergeCell ref="G126:K126"/>
    <mergeCell ref="L126:P12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8"/>
  <sheetViews>
    <sheetView view="pageBreakPreview" zoomScaleSheetLayoutView="100" zoomScalePageLayoutView="110" workbookViewId="0">
      <selection activeCell="F16" sqref="F16:G17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0"/>
      <c r="B2" s="321"/>
      <c r="C2" s="322"/>
      <c r="D2" s="323"/>
      <c r="E2" s="324" t="s">
        <v>127</v>
      </c>
      <c r="F2" s="325"/>
      <c r="G2" s="325"/>
      <c r="H2" s="325"/>
      <c r="I2" s="325"/>
      <c r="J2" s="325"/>
      <c r="K2" s="325"/>
      <c r="L2" s="325"/>
      <c r="M2" s="325"/>
      <c r="N2" s="325"/>
      <c r="O2" s="326"/>
      <c r="P2" s="327"/>
    </row>
    <row r="3" spans="1:26" s="2" customFormat="1" ht="25.5" customHeight="1" thickBot="1" x14ac:dyDescent="0.3">
      <c r="A3" s="320"/>
      <c r="B3" s="328"/>
      <c r="C3" s="329"/>
      <c r="D3" s="330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3"/>
      <c r="P3" s="334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43171</v>
      </c>
      <c r="D5" s="296"/>
      <c r="E5" s="70" t="s">
        <v>50</v>
      </c>
      <c r="F5" s="71">
        <v>4</v>
      </c>
      <c r="G5" s="72" t="s">
        <v>1</v>
      </c>
      <c r="H5" s="297" t="s">
        <v>128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123</v>
      </c>
      <c r="E6" s="281"/>
      <c r="F6" s="281"/>
      <c r="G6" s="281"/>
      <c r="H6" s="281"/>
      <c r="I6" s="282"/>
      <c r="J6" s="74" t="s">
        <v>3</v>
      </c>
      <c r="K6" s="283" t="s">
        <v>116</v>
      </c>
      <c r="L6" s="282"/>
      <c r="M6" s="283" t="s">
        <v>117</v>
      </c>
      <c r="N6" s="284"/>
      <c r="O6" s="75" t="s">
        <v>51</v>
      </c>
      <c r="P6" s="76">
        <v>1521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124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 t="s">
        <v>4</v>
      </c>
      <c r="G10" s="210"/>
      <c r="H10" s="251" t="s">
        <v>9</v>
      </c>
      <c r="I10" s="246"/>
      <c r="J10" s="85" t="s">
        <v>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0.44097222222222227</v>
      </c>
      <c r="F11" s="254" t="s">
        <v>11</v>
      </c>
      <c r="G11" s="253"/>
      <c r="H11" s="87">
        <v>0.7</v>
      </c>
      <c r="I11" s="255" t="s">
        <v>12</v>
      </c>
      <c r="J11" s="256"/>
      <c r="K11" s="87">
        <v>18</v>
      </c>
      <c r="L11" s="252" t="s">
        <v>13</v>
      </c>
      <c r="M11" s="253"/>
      <c r="N11" s="88">
        <v>7.6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0.48958333333333331</v>
      </c>
      <c r="F12" s="247" t="s">
        <v>15</v>
      </c>
      <c r="G12" s="246"/>
      <c r="H12" s="87">
        <v>0.67</v>
      </c>
      <c r="I12" s="248" t="s">
        <v>16</v>
      </c>
      <c r="J12" s="246"/>
      <c r="K12" s="86">
        <v>0.4236111111111111</v>
      </c>
      <c r="L12" s="245" t="s">
        <v>17</v>
      </c>
      <c r="M12" s="246"/>
      <c r="N12" s="89">
        <v>0.4</v>
      </c>
      <c r="O12" s="249">
        <v>1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</v>
      </c>
      <c r="D18" s="29">
        <v>0.128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 t="s">
        <v>125</v>
      </c>
      <c r="B19" s="208">
        <v>1</v>
      </c>
      <c r="C19" s="211">
        <f>+C18+N12</f>
        <v>1.4</v>
      </c>
      <c r="D19" s="188">
        <v>0.06</v>
      </c>
      <c r="E19" s="188">
        <v>0.11</v>
      </c>
      <c r="F19" s="36" t="s">
        <v>75</v>
      </c>
      <c r="G19" s="37">
        <v>0</v>
      </c>
      <c r="H19" s="38"/>
      <c r="I19" s="39"/>
      <c r="J19" s="40">
        <v>2.9000000000000001E-2</v>
      </c>
      <c r="K19" s="188">
        <f>+IF(E19&lt;=0.12,(J21),(IF(E19&lt;0.16,((J20+2*J21+J22)/4),IF(E19&gt;=0.16,((J19+3*J20+2*J21+3*J22+J23)/10)))))</f>
        <v>1.2999999999999999E-2</v>
      </c>
      <c r="L19" s="188">
        <f>ROUND(+(D18+D19)/2*(C19-C18),3)</f>
        <v>3.7999999999999999E-2</v>
      </c>
      <c r="M19" s="188">
        <f>ROUND(+K19*L19,4)</f>
        <v>5.0000000000000001E-4</v>
      </c>
      <c r="N19" s="191">
        <f>ROUND(+M19/$M$133*100,2)</f>
        <v>0.02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 t="str">
        <f>IF(E19&lt;0.125,"NA",IF(0.125&lt;=E19,(0.2*E19)))</f>
        <v>NA</v>
      </c>
      <c r="H20" s="43"/>
      <c r="I20" s="44"/>
      <c r="J20" s="45"/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>+E19*0.4</f>
        <v>4.4000000000000004E-2</v>
      </c>
      <c r="H21" s="43"/>
      <c r="I21" s="44"/>
      <c r="J21" s="45">
        <v>1.2999999999999999E-2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 t="str">
        <f>IF(E19&lt;0.125,"NA",IF(0.125&lt;=E19,(0.8*E19)))</f>
        <v>NA</v>
      </c>
      <c r="H22" s="43"/>
      <c r="I22" s="44"/>
      <c r="J22" s="45"/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>+E19</f>
        <v>0.11</v>
      </c>
      <c r="H23" s="48"/>
      <c r="I23" s="49"/>
      <c r="J23" s="50">
        <v>3.5999999999999997E-2</v>
      </c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f>+B19+1</f>
        <v>2</v>
      </c>
      <c r="C24" s="211">
        <f>+C19+$N$12</f>
        <v>1.7999999999999998</v>
      </c>
      <c r="D24" s="188">
        <v>0.19500000000000001</v>
      </c>
      <c r="E24" s="188">
        <v>0.17799999999999999</v>
      </c>
      <c r="F24" s="36" t="s">
        <v>75</v>
      </c>
      <c r="G24" s="37">
        <v>0</v>
      </c>
      <c r="H24" s="38"/>
      <c r="I24" s="39"/>
      <c r="J24" s="40">
        <v>1.0999999999999999E-2</v>
      </c>
      <c r="K24" s="188">
        <f>+IF(E24&lt;=0.12,(J26),(IF(E24&lt;0.16,((J25+2*J26+J27)/4),IF(E24&gt;=0.16,((J24+3*J25+2*J26+3*J27+J28)/10)))))</f>
        <v>7.1500000000000008E-2</v>
      </c>
      <c r="L24" s="188">
        <f>ROUND(+(D19+D24)/2*(C24-C19),3)</f>
        <v>5.0999999999999997E-2</v>
      </c>
      <c r="M24" s="188">
        <f>ROUND(+K24*L24,4)</f>
        <v>3.5999999999999999E-3</v>
      </c>
      <c r="N24" s="191">
        <f>ROUND(+M24/$M$133*100,2)</f>
        <v>0.15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>
        <f>IF(E24&lt;0.125,"NA",IF(0.125&lt;=E24,(0.2*E24)))</f>
        <v>3.56E-2</v>
      </c>
      <c r="H25" s="43"/>
      <c r="I25" s="44"/>
      <c r="J25" s="45">
        <v>6.0999999999999999E-2</v>
      </c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>+E24*0.4</f>
        <v>7.1199999999999999E-2</v>
      </c>
      <c r="H26" s="43"/>
      <c r="I26" s="44"/>
      <c r="J26" s="45">
        <v>7.6999999999999999E-2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>
        <f>IF(E24&lt;0.125,"NA",IF(0.125&lt;=E24,(0.8*E24)))</f>
        <v>0.1424</v>
      </c>
      <c r="H27" s="43"/>
      <c r="I27" s="44"/>
      <c r="J27" s="45">
        <v>9.9000000000000005E-2</v>
      </c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>+E24</f>
        <v>0.17799999999999999</v>
      </c>
      <c r="H28" s="48"/>
      <c r="I28" s="49"/>
      <c r="J28" s="50">
        <v>7.0000000000000007E-2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f>+B24+1</f>
        <v>3</v>
      </c>
      <c r="C29" s="211">
        <f>+C24+$N$12</f>
        <v>2.1999999999999997</v>
      </c>
      <c r="D29" s="188">
        <v>0.23</v>
      </c>
      <c r="E29" s="188">
        <v>0.24</v>
      </c>
      <c r="F29" s="36" t="s">
        <v>75</v>
      </c>
      <c r="G29" s="37">
        <v>0</v>
      </c>
      <c r="H29" s="38"/>
      <c r="I29" s="39"/>
      <c r="J29" s="40">
        <v>0.01</v>
      </c>
      <c r="K29" s="188">
        <f>+IF(E29&lt;=0.12,(J31),(IF(E29&lt;0.16,((J30+2*J31+J32)/4),IF(E29&gt;=0.16,((J29+3*J30+2*J31+3*J32+J33)/10)))))</f>
        <v>7.4300000000000005E-2</v>
      </c>
      <c r="L29" s="188">
        <f>ROUND(+(D24+D29)/2*(C29-C24),3)</f>
        <v>8.5000000000000006E-2</v>
      </c>
      <c r="M29" s="188">
        <f>ROUND(+K29*L29,4)</f>
        <v>6.3E-3</v>
      </c>
      <c r="N29" s="191">
        <f>ROUND(+M29/$M$133*100,2)</f>
        <v>0.26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>IF(E29&lt;0.125,"NA",IF(0.125&lt;=E29,(0.2*E29)))</f>
        <v>4.8000000000000001E-2</v>
      </c>
      <c r="H30" s="43"/>
      <c r="I30" s="44"/>
      <c r="J30" s="45">
        <v>5.3999999999999999E-2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>+E29*0.4</f>
        <v>9.6000000000000002E-2</v>
      </c>
      <c r="H31" s="43"/>
      <c r="I31" s="44"/>
      <c r="J31" s="45">
        <v>6.4000000000000001E-2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>IF(E29&lt;0.125,"NA",IF(0.125&lt;=E29,(0.8*E29)))</f>
        <v>0.192</v>
      </c>
      <c r="H32" s="43"/>
      <c r="I32" s="44"/>
      <c r="J32" s="45">
        <v>0.106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>+E29</f>
        <v>0.24</v>
      </c>
      <c r="H33" s="48"/>
      <c r="I33" s="49"/>
      <c r="J33" s="50">
        <v>0.125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f>+B29+1</f>
        <v>4</v>
      </c>
      <c r="C34" s="211">
        <f>+C29+$N$12</f>
        <v>2.5999999999999996</v>
      </c>
      <c r="D34" s="188">
        <v>0.39</v>
      </c>
      <c r="E34" s="188">
        <v>0.36</v>
      </c>
      <c r="F34" s="36" t="s">
        <v>75</v>
      </c>
      <c r="G34" s="37">
        <v>0</v>
      </c>
      <c r="H34" s="38"/>
      <c r="I34" s="39"/>
      <c r="J34" s="40">
        <v>0.13400000000000001</v>
      </c>
      <c r="K34" s="188">
        <f>+IF(E34&lt;=0.12,(J36),(IF(E34&lt;0.16,((J35+2*J36+J37)/4),IF(E34&gt;=0.16,((J34+3*J35+2*J36+3*J37+J38)/10)))))</f>
        <v>0.13099999999999998</v>
      </c>
      <c r="L34" s="188">
        <f>ROUND(+(D29+D34)/2*(C34-C29),3)</f>
        <v>0.124</v>
      </c>
      <c r="M34" s="188">
        <f>ROUND(+K34*L34,4)</f>
        <v>1.6199999999999999E-2</v>
      </c>
      <c r="N34" s="191">
        <f>ROUND(+M34/$M$133*100,2)</f>
        <v>0.66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>
        <f>IF(E34&lt;0.125,"NA",IF(0.125&lt;=E34,(0.2*E34)))</f>
        <v>7.1999999999999995E-2</v>
      </c>
      <c r="H35" s="43"/>
      <c r="I35" s="44"/>
      <c r="J35" s="45">
        <v>0.10199999999999999</v>
      </c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>+E34*0.4</f>
        <v>0.14399999999999999</v>
      </c>
      <c r="H36" s="43"/>
      <c r="I36" s="44"/>
      <c r="J36" s="45">
        <v>0.114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>
        <f>IF(E34&lt;0.125,"NA",IF(0.125&lt;=E34,(0.8*E34)))</f>
        <v>0.28799999999999998</v>
      </c>
      <c r="H37" s="43"/>
      <c r="I37" s="44"/>
      <c r="J37" s="45">
        <v>0.16200000000000001</v>
      </c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>+E34</f>
        <v>0.36</v>
      </c>
      <c r="H38" s="48"/>
      <c r="I38" s="49"/>
      <c r="J38" s="50">
        <v>0.156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f>+B34+1</f>
        <v>5</v>
      </c>
      <c r="C39" s="211">
        <f>+C34+$N$12</f>
        <v>2.9999999999999996</v>
      </c>
      <c r="D39" s="188">
        <v>0.42799999999999999</v>
      </c>
      <c r="E39" s="188">
        <v>0.42</v>
      </c>
      <c r="F39" s="36" t="s">
        <v>75</v>
      </c>
      <c r="G39" s="37">
        <v>0</v>
      </c>
      <c r="H39" s="38"/>
      <c r="I39" s="39"/>
      <c r="J39" s="40">
        <v>6.8000000000000005E-2</v>
      </c>
      <c r="K39" s="188">
        <f>+IF(E39&lt;=0.12,(J41),(IF(E39&lt;0.16,((J40+2*J41+J42)/4),IF(E39&gt;=0.16,((J39+3*J40+2*J41+3*J42+J43)/10)))))</f>
        <v>0.127</v>
      </c>
      <c r="L39" s="188">
        <f>ROUND(+(D34+D39)/2*(C39-C34),3)</f>
        <v>0.16400000000000001</v>
      </c>
      <c r="M39" s="188">
        <f>ROUND(+K39*L39,4)</f>
        <v>2.0799999999999999E-2</v>
      </c>
      <c r="N39" s="191">
        <f>ROUND(+M39/$M$133*100,2)</f>
        <v>0.85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>
        <f>IF(E39&lt;0.125,"NA",IF(0.125&lt;=E39,(0.2*E39)))</f>
        <v>8.4000000000000005E-2</v>
      </c>
      <c r="H40" s="43"/>
      <c r="I40" s="44"/>
      <c r="J40" s="45">
        <v>0.11799999999999999</v>
      </c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>+E39*0.4</f>
        <v>0.16800000000000001</v>
      </c>
      <c r="H41" s="43"/>
      <c r="I41" s="44"/>
      <c r="J41" s="45">
        <v>0.13200000000000001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>
        <f>IF(E39&lt;0.125,"NA",IF(0.125&lt;=E39,(0.8*E39)))</f>
        <v>0.33600000000000002</v>
      </c>
      <c r="H42" s="43"/>
      <c r="I42" s="44"/>
      <c r="J42" s="45">
        <v>0.13300000000000001</v>
      </c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>+E39</f>
        <v>0.42</v>
      </c>
      <c r="H43" s="48"/>
      <c r="I43" s="49"/>
      <c r="J43" s="50">
        <v>0.185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f>+B39+1</f>
        <v>6</v>
      </c>
      <c r="C44" s="211">
        <f>+C39+$N$12</f>
        <v>3.3999999999999995</v>
      </c>
      <c r="D44" s="188">
        <v>0.44700000000000001</v>
      </c>
      <c r="E44" s="188">
        <v>0.45</v>
      </c>
      <c r="F44" s="36" t="s">
        <v>75</v>
      </c>
      <c r="G44" s="37">
        <v>0</v>
      </c>
      <c r="H44" s="38"/>
      <c r="I44" s="39"/>
      <c r="J44" s="40">
        <v>1.2999999999999999E-2</v>
      </c>
      <c r="K44" s="188">
        <f>+IF(E44&lt;=0.12,(J46),(IF(E44&lt;0.16,((J45+2*J46+J47)/4),IF(E44&gt;=0.16,((J44+3*J45+2*J46+3*J47+J48)/10)))))</f>
        <v>0.16389999999999999</v>
      </c>
      <c r="L44" s="188">
        <f>ROUND(+(D39+D44)/2*(C44-C39),3)</f>
        <v>0.17499999999999999</v>
      </c>
      <c r="M44" s="188">
        <f>ROUND(+K44*L44,4)</f>
        <v>2.87E-2</v>
      </c>
      <c r="N44" s="191">
        <f>ROUND(+M44/$M$133*100,2)</f>
        <v>1.17</v>
      </c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>IF(E44&lt;0.125,"NA",IF(0.125&lt;=E44,(0.2*E44)))</f>
        <v>9.0000000000000011E-2</v>
      </c>
      <c r="H45" s="43"/>
      <c r="I45" s="44"/>
      <c r="J45" s="45">
        <v>3.5999999999999997E-2</v>
      </c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>+E44*0.4</f>
        <v>0.18000000000000002</v>
      </c>
      <c r="H46" s="43"/>
      <c r="I46" s="44"/>
      <c r="J46" s="45">
        <v>6.8000000000000005E-2</v>
      </c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>IF(E44&lt;0.125,"NA",IF(0.125&lt;=E44,(0.8*E44)))</f>
        <v>0.36000000000000004</v>
      </c>
      <c r="H47" s="43"/>
      <c r="I47" s="44"/>
      <c r="J47" s="45">
        <v>0.31</v>
      </c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>+E44</f>
        <v>0.45</v>
      </c>
      <c r="H48" s="48"/>
      <c r="I48" s="49"/>
      <c r="J48" s="50">
        <v>0.45200000000000001</v>
      </c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f>+B44+1</f>
        <v>7</v>
      </c>
      <c r="C49" s="211">
        <f>+C44+$N$12</f>
        <v>3.7999999999999994</v>
      </c>
      <c r="D49" s="188">
        <v>0.47</v>
      </c>
      <c r="E49" s="188">
        <v>0.46</v>
      </c>
      <c r="F49" s="36" t="s">
        <v>75</v>
      </c>
      <c r="G49" s="37">
        <v>0</v>
      </c>
      <c r="H49" s="38"/>
      <c r="I49" s="39"/>
      <c r="J49" s="40">
        <v>0.26500000000000001</v>
      </c>
      <c r="K49" s="188">
        <f>+IF(E49&lt;=0.12,(J51),(IF(E49&lt;0.16,((J50+2*J51+J52)/4),IF(E49&gt;=0.16,((J49+3*J50+2*J51+3*J52+J53)/10)))))</f>
        <v>0.61940000000000006</v>
      </c>
      <c r="L49" s="188">
        <f>ROUND(+(D44+D49)/2*(C49-C44),3)</f>
        <v>0.183</v>
      </c>
      <c r="M49" s="188">
        <f>ROUND(+K49*L49,4)</f>
        <v>0.1134</v>
      </c>
      <c r="N49" s="191">
        <f>ROUND(+M49/$M$133*100,2)</f>
        <v>4.6100000000000003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>IF(E49&lt;0.125,"NA",IF(0.125&lt;=E49,(0.2*E49)))</f>
        <v>9.2000000000000012E-2</v>
      </c>
      <c r="H50" s="43"/>
      <c r="I50" s="44"/>
      <c r="J50" s="45">
        <v>0.40600000000000003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>+E49*0.4</f>
        <v>0.18400000000000002</v>
      </c>
      <c r="H51" s="43"/>
      <c r="I51" s="44"/>
      <c r="J51" s="45">
        <v>0.52500000000000002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>IF(E49&lt;0.125,"NA",IF(0.125&lt;=E49,(0.8*E49)))</f>
        <v>0.36800000000000005</v>
      </c>
      <c r="H52" s="43"/>
      <c r="I52" s="44"/>
      <c r="J52" s="45">
        <v>0.98499999999999999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>+E49</f>
        <v>0.46</v>
      </c>
      <c r="H53" s="48"/>
      <c r="I53" s="49"/>
      <c r="J53" s="50">
        <v>0.70599999999999996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 t="s">
        <v>125</v>
      </c>
      <c r="B54" s="208">
        <f>+B49+1</f>
        <v>8</v>
      </c>
      <c r="C54" s="211">
        <f>+C49+$N$12</f>
        <v>4.1999999999999993</v>
      </c>
      <c r="D54" s="188">
        <v>0.46</v>
      </c>
      <c r="E54" s="188">
        <v>0.48</v>
      </c>
      <c r="F54" s="36" t="s">
        <v>75</v>
      </c>
      <c r="G54" s="37">
        <v>0</v>
      </c>
      <c r="H54" s="38"/>
      <c r="I54" s="39"/>
      <c r="J54" s="40">
        <v>0.69499999999999995</v>
      </c>
      <c r="K54" s="188">
        <f>+IF(E54&lt;=0.12,(J56),(IF(E54&lt;0.16,((J55+2*J56+J57)/4),IF(E54&gt;=0.16,((J54+3*J55+2*J56+3*J57+J58)/10)))))</f>
        <v>0.97910000000000008</v>
      </c>
      <c r="L54" s="188">
        <f>ROUND(+(D49+D54)/2*(C54-C49),3)</f>
        <v>0.186</v>
      </c>
      <c r="M54" s="188">
        <f>ROUND(+K54*L54,4)</f>
        <v>0.18210000000000001</v>
      </c>
      <c r="N54" s="191">
        <f>ROUND(+M54/$M$133*100,2)</f>
        <v>7.4</v>
      </c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>
        <f>IF(E54&lt;0.125,"NA",IF(0.125&lt;=E54,(0.2*E54)))</f>
        <v>9.6000000000000002E-2</v>
      </c>
      <c r="H55" s="43"/>
      <c r="I55" s="44"/>
      <c r="J55" s="45">
        <v>0.84499999999999997</v>
      </c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>+E54*0.4</f>
        <v>0.192</v>
      </c>
      <c r="H56" s="43"/>
      <c r="I56" s="44"/>
      <c r="J56" s="45">
        <v>0.97399999999999998</v>
      </c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>
        <f>IF(E54&lt;0.125,"NA",IF(0.125&lt;=E54,(0.8*E54)))</f>
        <v>0.38400000000000001</v>
      </c>
      <c r="H57" s="43"/>
      <c r="I57" s="44"/>
      <c r="J57" s="45">
        <v>0.98099999999999998</v>
      </c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>+E54</f>
        <v>0.48</v>
      </c>
      <c r="H58" s="48"/>
      <c r="I58" s="49"/>
      <c r="J58" s="50">
        <v>1.67</v>
      </c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f>+B54+1</f>
        <v>9</v>
      </c>
      <c r="C59" s="211">
        <f>+C54+$N$12</f>
        <v>4.5999999999999996</v>
      </c>
      <c r="D59" s="188">
        <v>0.52</v>
      </c>
      <c r="E59" s="188">
        <v>0.48</v>
      </c>
      <c r="F59" s="36" t="s">
        <v>75</v>
      </c>
      <c r="G59" s="37">
        <v>0</v>
      </c>
      <c r="H59" s="38"/>
      <c r="I59" s="39"/>
      <c r="J59" s="40">
        <v>0.37</v>
      </c>
      <c r="K59" s="188">
        <f>+IF(E59&lt;=0.12,(J61),(IF(E59&lt;0.16,((J60+2*J61+J62)/4),IF(E59&gt;=0.16,((J59+3*J60+2*J61+3*J62+J63)/10)))))</f>
        <v>1.2887999999999999</v>
      </c>
      <c r="L59" s="188">
        <f>ROUND(+(D54+D59)/2*(C59-C54),3)</f>
        <v>0.19600000000000001</v>
      </c>
      <c r="M59" s="188">
        <f>ROUND(+K59*L59,4)</f>
        <v>0.25259999999999999</v>
      </c>
      <c r="N59" s="191">
        <f>ROUND(+M59/$M$133*100,2)</f>
        <v>10.27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>IF(E59&lt;0.125,"NA",IF(0.125&lt;=E59,(0.2*E59)))</f>
        <v>9.6000000000000002E-2</v>
      </c>
      <c r="H60" s="43"/>
      <c r="I60" s="44"/>
      <c r="J60" s="45">
        <v>0.93600000000000005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>+E59*0.4</f>
        <v>0.192</v>
      </c>
      <c r="H61" s="43"/>
      <c r="I61" s="44"/>
      <c r="J61" s="45">
        <v>1.68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>IF(E59&lt;0.125,"NA",IF(0.125&lt;=E59,(0.8*E59)))</f>
        <v>0.38400000000000001</v>
      </c>
      <c r="H62" s="43"/>
      <c r="I62" s="44"/>
      <c r="J62" s="45">
        <v>1.625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>+E59</f>
        <v>0.48</v>
      </c>
      <c r="H63" s="48"/>
      <c r="I63" s="49"/>
      <c r="J63" s="50">
        <v>1.4750000000000001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f>+B59+1</f>
        <v>10</v>
      </c>
      <c r="C64" s="211">
        <f>+C59+$N$12</f>
        <v>5</v>
      </c>
      <c r="D64" s="188">
        <v>0.629</v>
      </c>
      <c r="E64" s="188">
        <v>0.55000000000000004</v>
      </c>
      <c r="F64" s="36" t="s">
        <v>75</v>
      </c>
      <c r="G64" s="37">
        <v>0</v>
      </c>
      <c r="H64" s="38"/>
      <c r="I64" s="39"/>
      <c r="J64" s="40">
        <v>0.64800000000000002</v>
      </c>
      <c r="K64" s="188">
        <f>+IF(E64&lt;=0.12,(J66),(IF(E64&lt;0.16,((J65+2*J66+J67)/4),IF(E64&gt;=0.16,((J64+3*J65+2*J66+3*J67+J68)/10)))))</f>
        <v>1.1488</v>
      </c>
      <c r="L64" s="188">
        <f>ROUND(+(D59+D64)/2*(C64-C59),3)</f>
        <v>0.23</v>
      </c>
      <c r="M64" s="188">
        <f>ROUND(+K64*L64,4)</f>
        <v>0.26419999999999999</v>
      </c>
      <c r="N64" s="191">
        <f>ROUND(+M64/$M$133*100,2)</f>
        <v>10.74</v>
      </c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>IF(E64&lt;0.125,"NA",IF(0.125&lt;=E64,(0.2*E64)))</f>
        <v>0.11000000000000001</v>
      </c>
      <c r="H65" s="43"/>
      <c r="I65" s="44"/>
      <c r="J65" s="45">
        <v>0.55500000000000005</v>
      </c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>+E64*0.4</f>
        <v>0.22000000000000003</v>
      </c>
      <c r="H66" s="43"/>
      <c r="I66" s="44"/>
      <c r="J66" s="45">
        <v>1.389</v>
      </c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>IF(E64&lt;0.125,"NA",IF(0.125&lt;=E64,(0.8*E64)))</f>
        <v>0.44000000000000006</v>
      </c>
      <c r="H67" s="43"/>
      <c r="I67" s="44"/>
      <c r="J67" s="45">
        <v>1.7330000000000001</v>
      </c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>+E64</f>
        <v>0.55000000000000004</v>
      </c>
      <c r="H68" s="48"/>
      <c r="I68" s="49"/>
      <c r="J68" s="50">
        <v>1.198</v>
      </c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f>+B64+1</f>
        <v>11</v>
      </c>
      <c r="C69" s="211">
        <f>+C64+$N$12</f>
        <v>5.4</v>
      </c>
      <c r="D69" s="188">
        <v>0.66</v>
      </c>
      <c r="E69" s="188">
        <v>0.65</v>
      </c>
      <c r="F69" s="36" t="s">
        <v>75</v>
      </c>
      <c r="G69" s="37">
        <v>0</v>
      </c>
      <c r="H69" s="38"/>
      <c r="I69" s="39"/>
      <c r="J69" s="40">
        <v>0.46300000000000002</v>
      </c>
      <c r="K69" s="188">
        <f>+IF(E69&lt;=0.12,(J71),(IF(E69&lt;0.16,((J70+2*J71+J72)/4),IF(E69&gt;=0.16,((J69+3*J70+2*J71+3*J72+J73)/10)))))</f>
        <v>1.1931999999999998</v>
      </c>
      <c r="L69" s="188">
        <f>ROUND(+(D64+D69)/2*(C69-C64),3)</f>
        <v>0.25800000000000001</v>
      </c>
      <c r="M69" s="188">
        <f>ROUND(+K69*L69,4)</f>
        <v>0.30780000000000002</v>
      </c>
      <c r="N69" s="191">
        <f>ROUND(+M69/$M$133*100,2)</f>
        <v>12.51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>
        <f>IF(E69&lt;0.125,"NA",IF(0.125&lt;=E69,(0.2*E69)))</f>
        <v>0.13</v>
      </c>
      <c r="H70" s="43"/>
      <c r="I70" s="44"/>
      <c r="J70" s="45">
        <v>0.64300000000000002</v>
      </c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>+E69*0.4</f>
        <v>0.26</v>
      </c>
      <c r="H71" s="43"/>
      <c r="I71" s="44"/>
      <c r="J71" s="45">
        <v>1.3959999999999999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>
        <f>IF(E69&lt;0.125,"NA",IF(0.125&lt;=E69,(0.8*E69)))</f>
        <v>0.52</v>
      </c>
      <c r="H72" s="43"/>
      <c r="I72" s="44"/>
      <c r="J72" s="45">
        <v>1.7310000000000001</v>
      </c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>+E69</f>
        <v>0.65</v>
      </c>
      <c r="H73" s="48"/>
      <c r="I73" s="49"/>
      <c r="J73" s="50">
        <v>1.5549999999999999</v>
      </c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8">
        <f>+B69+1</f>
        <v>12</v>
      </c>
      <c r="C74" s="211">
        <f>+C69+$N$12</f>
        <v>5.8000000000000007</v>
      </c>
      <c r="D74" s="188">
        <v>0.64</v>
      </c>
      <c r="E74" s="188">
        <v>0.66</v>
      </c>
      <c r="F74" s="36" t="s">
        <v>75</v>
      </c>
      <c r="G74" s="37">
        <v>0</v>
      </c>
      <c r="H74" s="38"/>
      <c r="I74" s="39"/>
      <c r="J74" s="40"/>
      <c r="K74" s="188"/>
      <c r="L74" s="188"/>
      <c r="M74" s="188"/>
      <c r="N74" s="191"/>
      <c r="O74" s="192"/>
      <c r="P74" s="19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09"/>
      <c r="C75" s="189"/>
      <c r="D75" s="189"/>
      <c r="E75" s="189"/>
      <c r="F75" s="41" t="s">
        <v>76</v>
      </c>
      <c r="G75" s="42">
        <f>IF(E74&lt;0.125,"NA",IF(0.125&lt;=E74,(0.2*E74)))</f>
        <v>0.13200000000000001</v>
      </c>
      <c r="H75" s="43"/>
      <c r="I75" s="44"/>
      <c r="J75" s="45"/>
      <c r="K75" s="189"/>
      <c r="L75" s="189"/>
      <c r="M75" s="189"/>
      <c r="N75" s="189"/>
      <c r="O75" s="189"/>
      <c r="P75" s="19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09"/>
      <c r="C76" s="189"/>
      <c r="D76" s="189"/>
      <c r="E76" s="189"/>
      <c r="F76" s="41" t="s">
        <v>77</v>
      </c>
      <c r="G76" s="42">
        <f>+E74*0.4</f>
        <v>0.26400000000000001</v>
      </c>
      <c r="H76" s="43"/>
      <c r="I76" s="44"/>
      <c r="J76" s="45"/>
      <c r="K76" s="189"/>
      <c r="L76" s="189"/>
      <c r="M76" s="189"/>
      <c r="N76" s="189"/>
      <c r="O76" s="189"/>
      <c r="P76" s="19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09"/>
      <c r="C77" s="189"/>
      <c r="D77" s="189"/>
      <c r="E77" s="189"/>
      <c r="F77" s="41" t="s">
        <v>78</v>
      </c>
      <c r="G77" s="42">
        <f>IF(E74&lt;0.125,"NA",IF(0.125&lt;=E74,(0.8*E74)))</f>
        <v>0.52800000000000002</v>
      </c>
      <c r="H77" s="43"/>
      <c r="I77" s="44"/>
      <c r="J77" s="45"/>
      <c r="K77" s="189"/>
      <c r="L77" s="189"/>
      <c r="M77" s="189"/>
      <c r="N77" s="189"/>
      <c r="O77" s="189"/>
      <c r="P77" s="19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0"/>
      <c r="C78" s="190"/>
      <c r="D78" s="190"/>
      <c r="E78" s="190"/>
      <c r="F78" s="46" t="s">
        <v>79</v>
      </c>
      <c r="G78" s="47">
        <f>+E74</f>
        <v>0.66</v>
      </c>
      <c r="H78" s="48"/>
      <c r="I78" s="49"/>
      <c r="J78" s="50"/>
      <c r="K78" s="190"/>
      <c r="L78" s="190"/>
      <c r="M78" s="190"/>
      <c r="N78" s="190"/>
      <c r="O78" s="190"/>
      <c r="P78" s="19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8">
        <f>+B74+1</f>
        <v>13</v>
      </c>
      <c r="C79" s="211">
        <f>+C74+$N$12</f>
        <v>6.2000000000000011</v>
      </c>
      <c r="D79" s="188">
        <v>0.6</v>
      </c>
      <c r="E79" s="188">
        <v>0.5</v>
      </c>
      <c r="F79" s="36" t="s">
        <v>75</v>
      </c>
      <c r="G79" s="37">
        <v>0</v>
      </c>
      <c r="H79" s="38"/>
      <c r="I79" s="39"/>
      <c r="J79" s="40">
        <v>0.127</v>
      </c>
      <c r="K79" s="188">
        <f>+IF(E79&lt;=0.12,(J81),(IF(E79&lt;0.16,((J80+2*J81+J82)/4),IF(E79&gt;=0.16,((J79+3*J80+2*J81+3*J82+J83)/10)))))</f>
        <v>0.84410000000000007</v>
      </c>
      <c r="L79" s="188">
        <f>ROUND(+(D74+D79)/2*(C79-C74),3)</f>
        <v>0.248</v>
      </c>
      <c r="M79" s="188">
        <f>ROUND(+K79*L79,4)</f>
        <v>0.20930000000000001</v>
      </c>
      <c r="N79" s="191">
        <f>ROUND(+M79/$M$133*100,2)</f>
        <v>8.51</v>
      </c>
      <c r="O79" s="192"/>
      <c r="P79" s="19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09"/>
      <c r="C80" s="189"/>
      <c r="D80" s="189"/>
      <c r="E80" s="189"/>
      <c r="F80" s="41" t="s">
        <v>76</v>
      </c>
      <c r="G80" s="42">
        <f>IF(E79&lt;0.125,"NA",IF(0.125&lt;=E79,(0.2*E79)))</f>
        <v>0.1</v>
      </c>
      <c r="H80" s="43"/>
      <c r="I80" s="44"/>
      <c r="J80" s="45">
        <v>0.47499999999999998</v>
      </c>
      <c r="K80" s="189"/>
      <c r="L80" s="189"/>
      <c r="M80" s="189"/>
      <c r="N80" s="189"/>
      <c r="O80" s="189"/>
      <c r="P80" s="19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09"/>
      <c r="C81" s="189"/>
      <c r="D81" s="189"/>
      <c r="E81" s="189"/>
      <c r="F81" s="41" t="s">
        <v>77</v>
      </c>
      <c r="G81" s="42">
        <f>+E79*0.4</f>
        <v>0.2</v>
      </c>
      <c r="H81" s="43"/>
      <c r="I81" s="44"/>
      <c r="J81" s="45">
        <v>0.64400000000000002</v>
      </c>
      <c r="K81" s="189"/>
      <c r="L81" s="189"/>
      <c r="M81" s="189"/>
      <c r="N81" s="189"/>
      <c r="O81" s="189"/>
      <c r="P81" s="19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09"/>
      <c r="C82" s="189"/>
      <c r="D82" s="189"/>
      <c r="E82" s="189"/>
      <c r="F82" s="41" t="s">
        <v>78</v>
      </c>
      <c r="G82" s="42">
        <f>IF(E79&lt;0.125,"NA",IF(0.125&lt;=E79,(0.8*E79)))</f>
        <v>0.4</v>
      </c>
      <c r="H82" s="43"/>
      <c r="I82" s="44"/>
      <c r="J82" s="45">
        <v>1.4790000000000001</v>
      </c>
      <c r="K82" s="189"/>
      <c r="L82" s="189"/>
      <c r="M82" s="189"/>
      <c r="N82" s="189"/>
      <c r="O82" s="189"/>
      <c r="P82" s="19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0"/>
      <c r="C83" s="190"/>
      <c r="D83" s="190"/>
      <c r="E83" s="190"/>
      <c r="F83" s="46" t="s">
        <v>79</v>
      </c>
      <c r="G83" s="47">
        <f>+E79</f>
        <v>0.5</v>
      </c>
      <c r="H83" s="48"/>
      <c r="I83" s="49"/>
      <c r="J83" s="50">
        <v>1.1639999999999999</v>
      </c>
      <c r="K83" s="190"/>
      <c r="L83" s="190"/>
      <c r="M83" s="190"/>
      <c r="N83" s="190"/>
      <c r="O83" s="190"/>
      <c r="P83" s="19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8">
        <f>+B79+1</f>
        <v>14</v>
      </c>
      <c r="C84" s="211">
        <f>+C79+$N$12</f>
        <v>6.6000000000000014</v>
      </c>
      <c r="D84" s="188">
        <v>0.45</v>
      </c>
      <c r="E84" s="188">
        <v>0.56000000000000005</v>
      </c>
      <c r="F84" s="36" t="s">
        <v>75</v>
      </c>
      <c r="G84" s="37">
        <v>0</v>
      </c>
      <c r="H84" s="38"/>
      <c r="I84" s="39"/>
      <c r="J84" s="40">
        <v>0.74099999999999999</v>
      </c>
      <c r="K84" s="188">
        <f>+IF(E84&lt;=0.12,(J86),(IF(E84&lt;0.16,((J85+2*J86+J87)/4),IF(E84&gt;=0.16,((J84+3*J85+2*J86+3*J87+J88)/10)))))</f>
        <v>0.96560000000000001</v>
      </c>
      <c r="L84" s="188">
        <f>ROUND(+(D79+D84)/2*(C84-C79),3)</f>
        <v>0.21</v>
      </c>
      <c r="M84" s="188">
        <f>ROUND(+K84*L84,4)</f>
        <v>0.20280000000000001</v>
      </c>
      <c r="N84" s="191">
        <f>ROUND(+M84/$M$133*100,2)</f>
        <v>8.24</v>
      </c>
      <c r="O84" s="192"/>
      <c r="P84" s="193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09"/>
      <c r="C85" s="189"/>
      <c r="D85" s="189"/>
      <c r="E85" s="189"/>
      <c r="F85" s="41" t="s">
        <v>76</v>
      </c>
      <c r="G85" s="42">
        <f>IF(E84&lt;0.125,"NA",IF(0.125&lt;=E84,(0.2*E84)))</f>
        <v>0.11200000000000002</v>
      </c>
      <c r="H85" s="43"/>
      <c r="I85" s="44"/>
      <c r="J85" s="45">
        <v>0.77500000000000002</v>
      </c>
      <c r="K85" s="189"/>
      <c r="L85" s="189"/>
      <c r="M85" s="189"/>
      <c r="N85" s="189"/>
      <c r="O85" s="189"/>
      <c r="P85" s="194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09"/>
      <c r="C86" s="189"/>
      <c r="D86" s="189"/>
      <c r="E86" s="189"/>
      <c r="F86" s="41" t="s">
        <v>77</v>
      </c>
      <c r="G86" s="42">
        <f>+E84*0.4</f>
        <v>0.22400000000000003</v>
      </c>
      <c r="H86" s="43"/>
      <c r="I86" s="44"/>
      <c r="J86" s="45">
        <v>1.103</v>
      </c>
      <c r="K86" s="189"/>
      <c r="L86" s="189"/>
      <c r="M86" s="189"/>
      <c r="N86" s="189"/>
      <c r="O86" s="189"/>
      <c r="P86" s="194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09"/>
      <c r="C87" s="189"/>
      <c r="D87" s="189"/>
      <c r="E87" s="189"/>
      <c r="F87" s="41" t="s">
        <v>78</v>
      </c>
      <c r="G87" s="42">
        <f>IF(E84&lt;0.125,"NA",IF(0.125&lt;=E84,(0.8*E84)))</f>
        <v>0.44800000000000006</v>
      </c>
      <c r="H87" s="43"/>
      <c r="I87" s="44"/>
      <c r="J87" s="45">
        <v>1.0660000000000001</v>
      </c>
      <c r="K87" s="189"/>
      <c r="L87" s="189"/>
      <c r="M87" s="189"/>
      <c r="N87" s="189"/>
      <c r="O87" s="189"/>
      <c r="P87" s="194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0"/>
      <c r="C88" s="190"/>
      <c r="D88" s="190"/>
      <c r="E88" s="190"/>
      <c r="F88" s="46" t="s">
        <v>79</v>
      </c>
      <c r="G88" s="47">
        <f>+E84</f>
        <v>0.56000000000000005</v>
      </c>
      <c r="H88" s="48"/>
      <c r="I88" s="49"/>
      <c r="J88" s="50">
        <v>1.1859999999999999</v>
      </c>
      <c r="K88" s="190"/>
      <c r="L88" s="190"/>
      <c r="M88" s="190"/>
      <c r="N88" s="190"/>
      <c r="O88" s="190"/>
      <c r="P88" s="195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 t="s">
        <v>125</v>
      </c>
      <c r="B89" s="208">
        <f>+B84+1</f>
        <v>15</v>
      </c>
      <c r="C89" s="211">
        <f>+C84+$N$12</f>
        <v>7.0000000000000018</v>
      </c>
      <c r="D89" s="188">
        <v>0.4</v>
      </c>
      <c r="E89" s="188">
        <v>0.49</v>
      </c>
      <c r="F89" s="36" t="s">
        <v>75</v>
      </c>
      <c r="G89" s="37">
        <v>0</v>
      </c>
      <c r="H89" s="38"/>
      <c r="I89" s="39"/>
      <c r="J89" s="40">
        <v>0.56999999999999995</v>
      </c>
      <c r="K89" s="188">
        <f>+IF(E89&lt;=0.12,(J91),(IF(E89&lt;0.16,((J90+2*J91+J92)/4),IF(E89&gt;=0.16,((J89+3*J90+2*J91+3*J92+J93)/10)))))</f>
        <v>0.74119999999999997</v>
      </c>
      <c r="L89" s="188">
        <f>ROUND(+(D84+D89)/2*(C89-C84),3)</f>
        <v>0.17</v>
      </c>
      <c r="M89" s="188">
        <f>ROUND(+K89*L89,4)</f>
        <v>0.126</v>
      </c>
      <c r="N89" s="191">
        <f>ROUND(+M89/$M$133*100,2)</f>
        <v>5.12</v>
      </c>
      <c r="O89" s="192"/>
      <c r="P89" s="193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09"/>
      <c r="C90" s="189"/>
      <c r="D90" s="189"/>
      <c r="E90" s="189"/>
      <c r="F90" s="41" t="s">
        <v>76</v>
      </c>
      <c r="G90" s="42">
        <f>IF(E89&lt;0.125,"NA",IF(0.125&lt;=E89,(0.2*E89)))</f>
        <v>9.8000000000000004E-2</v>
      </c>
      <c r="H90" s="43"/>
      <c r="I90" s="44"/>
      <c r="J90" s="45">
        <v>0.67900000000000005</v>
      </c>
      <c r="K90" s="189"/>
      <c r="L90" s="189"/>
      <c r="M90" s="189"/>
      <c r="N90" s="189"/>
      <c r="O90" s="189"/>
      <c r="P90" s="194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09"/>
      <c r="C91" s="189"/>
      <c r="D91" s="189"/>
      <c r="E91" s="189"/>
      <c r="F91" s="41" t="s">
        <v>77</v>
      </c>
      <c r="G91" s="42">
        <f>+E89*0.4</f>
        <v>0.19600000000000001</v>
      </c>
      <c r="H91" s="43"/>
      <c r="I91" s="44"/>
      <c r="J91" s="45">
        <v>0.71399999999999997</v>
      </c>
      <c r="K91" s="189"/>
      <c r="L91" s="189"/>
      <c r="M91" s="189"/>
      <c r="N91" s="189"/>
      <c r="O91" s="189"/>
      <c r="P91" s="194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09"/>
      <c r="C92" s="189"/>
      <c r="D92" s="189"/>
      <c r="E92" s="189"/>
      <c r="F92" s="41" t="s">
        <v>78</v>
      </c>
      <c r="G92" s="42">
        <f>IF(E89&lt;0.125,"NA",IF(0.125&lt;=E89,(0.8*E89)))</f>
        <v>0.39200000000000002</v>
      </c>
      <c r="H92" s="43"/>
      <c r="I92" s="44"/>
      <c r="J92" s="45">
        <v>0.85899999999999999</v>
      </c>
      <c r="K92" s="189"/>
      <c r="L92" s="189"/>
      <c r="M92" s="189"/>
      <c r="N92" s="189"/>
      <c r="O92" s="189"/>
      <c r="P92" s="194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0"/>
      <c r="C93" s="190"/>
      <c r="D93" s="190"/>
      <c r="E93" s="190"/>
      <c r="F93" s="46" t="s">
        <v>79</v>
      </c>
      <c r="G93" s="47">
        <f>+E89</f>
        <v>0.49</v>
      </c>
      <c r="H93" s="48"/>
      <c r="I93" s="49"/>
      <c r="J93" s="50">
        <v>0.8</v>
      </c>
      <c r="K93" s="190"/>
      <c r="L93" s="190"/>
      <c r="M93" s="190"/>
      <c r="N93" s="190"/>
      <c r="O93" s="190"/>
      <c r="P93" s="195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8">
        <f>+B89+1</f>
        <v>16</v>
      </c>
      <c r="C94" s="211">
        <f>+C89+$N$12</f>
        <v>7.4000000000000021</v>
      </c>
      <c r="D94" s="188">
        <v>0.28000000000000003</v>
      </c>
      <c r="E94" s="188">
        <v>0.28999999999999998</v>
      </c>
      <c r="F94" s="36" t="s">
        <v>75</v>
      </c>
      <c r="G94" s="37">
        <v>0</v>
      </c>
      <c r="H94" s="38"/>
      <c r="I94" s="39"/>
      <c r="J94" s="40">
        <v>0.77200000000000002</v>
      </c>
      <c r="K94" s="188">
        <f>+IF(E94&lt;=0.12,(J96),(IF(E94&lt;0.16,((J95+2*J96+J97)/4),IF(E94&gt;=0.16,((J94+3*J95+2*J96+3*J97+J98)/10)))))</f>
        <v>0.8338000000000001</v>
      </c>
      <c r="L94" s="188">
        <f>ROUND(+(D89+D94)/2*(C94-C89),3)</f>
        <v>0.13600000000000001</v>
      </c>
      <c r="M94" s="188">
        <f>ROUND(+K94*L94,4)</f>
        <v>0.1134</v>
      </c>
      <c r="N94" s="191">
        <f>ROUND(+M94/$M$133*100,2)</f>
        <v>4.6100000000000003</v>
      </c>
      <c r="O94" s="192"/>
      <c r="P94" s="193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09"/>
      <c r="C95" s="189"/>
      <c r="D95" s="189"/>
      <c r="E95" s="189"/>
      <c r="F95" s="41" t="s">
        <v>76</v>
      </c>
      <c r="G95" s="42">
        <f>IF(E94&lt;0.125,"NA",IF(0.125&lt;=E94,(0.2*E94)))</f>
        <v>5.7999999999999996E-2</v>
      </c>
      <c r="H95" s="43"/>
      <c r="I95" s="44"/>
      <c r="J95" s="45">
        <v>0.82099999999999995</v>
      </c>
      <c r="K95" s="189"/>
      <c r="L95" s="189"/>
      <c r="M95" s="189"/>
      <c r="N95" s="189"/>
      <c r="O95" s="189"/>
      <c r="P95" s="194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09"/>
      <c r="C96" s="189"/>
      <c r="D96" s="189"/>
      <c r="E96" s="189"/>
      <c r="F96" s="41" t="s">
        <v>77</v>
      </c>
      <c r="G96" s="42">
        <f>+E94*0.4</f>
        <v>0.11599999999999999</v>
      </c>
      <c r="H96" s="43"/>
      <c r="I96" s="44"/>
      <c r="J96" s="45">
        <v>0.83599999999999997</v>
      </c>
      <c r="K96" s="189"/>
      <c r="L96" s="189"/>
      <c r="M96" s="189"/>
      <c r="N96" s="189"/>
      <c r="O96" s="189"/>
      <c r="P96" s="194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09"/>
      <c r="C97" s="189"/>
      <c r="D97" s="189"/>
      <c r="E97" s="189"/>
      <c r="F97" s="41" t="s">
        <v>78</v>
      </c>
      <c r="G97" s="42">
        <f>IF(E94&lt;0.125,"NA",IF(0.125&lt;=E94,(0.8*E94)))</f>
        <v>0.23199999999999998</v>
      </c>
      <c r="H97" s="43"/>
      <c r="I97" s="44"/>
      <c r="J97" s="45">
        <v>0.88400000000000001</v>
      </c>
      <c r="K97" s="189"/>
      <c r="L97" s="189"/>
      <c r="M97" s="189"/>
      <c r="N97" s="189"/>
      <c r="O97" s="189"/>
      <c r="P97" s="194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0"/>
      <c r="C98" s="190"/>
      <c r="D98" s="190"/>
      <c r="E98" s="190"/>
      <c r="F98" s="46" t="s">
        <v>79</v>
      </c>
      <c r="G98" s="47">
        <f>+E94</f>
        <v>0.28999999999999998</v>
      </c>
      <c r="H98" s="48"/>
      <c r="I98" s="49"/>
      <c r="J98" s="50">
        <v>0.77900000000000003</v>
      </c>
      <c r="K98" s="190"/>
      <c r="L98" s="190"/>
      <c r="M98" s="190"/>
      <c r="N98" s="190"/>
      <c r="O98" s="190"/>
      <c r="P98" s="195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8">
        <f>+B94+1</f>
        <v>17</v>
      </c>
      <c r="C99" s="211">
        <f>+C94+$N$12</f>
        <v>7.8000000000000025</v>
      </c>
      <c r="D99" s="188">
        <v>0.33900000000000002</v>
      </c>
      <c r="E99" s="188">
        <v>0.32500000000000001</v>
      </c>
      <c r="F99" s="36" t="s">
        <v>75</v>
      </c>
      <c r="G99" s="37">
        <v>0</v>
      </c>
      <c r="H99" s="38"/>
      <c r="I99" s="39"/>
      <c r="J99" s="40">
        <v>0.71499999999999997</v>
      </c>
      <c r="K99" s="188">
        <f>+IF(E99&lt;=0.12,(J101),(IF(E99&lt;0.16,((J100+2*J101+J102)/4),IF(E99&gt;=0.16,((J99+3*J100+2*J101+3*J102+J103)/10)))))</f>
        <v>0.77799999999999991</v>
      </c>
      <c r="L99" s="188">
        <f>ROUND(+(D94+D99)/2*(C99-C94),3)</f>
        <v>0.124</v>
      </c>
      <c r="M99" s="188">
        <f>ROUND(+K99*L99,4)</f>
        <v>9.6500000000000002E-2</v>
      </c>
      <c r="N99" s="191">
        <f>ROUND(+M99/$M$133*100,2)</f>
        <v>3.92</v>
      </c>
      <c r="O99" s="192"/>
      <c r="P99" s="193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09"/>
      <c r="C100" s="189"/>
      <c r="D100" s="189"/>
      <c r="E100" s="189"/>
      <c r="F100" s="41" t="s">
        <v>76</v>
      </c>
      <c r="G100" s="42">
        <f>IF(E99&lt;0.125,"NA",IF(0.125&lt;=E99,(0.2*E99)))</f>
        <v>6.5000000000000002E-2</v>
      </c>
      <c r="H100" s="43"/>
      <c r="I100" s="44"/>
      <c r="J100" s="45">
        <v>0.746</v>
      </c>
      <c r="K100" s="189"/>
      <c r="L100" s="189"/>
      <c r="M100" s="189"/>
      <c r="N100" s="189"/>
      <c r="O100" s="189"/>
      <c r="P100" s="194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09"/>
      <c r="C101" s="189"/>
      <c r="D101" s="189"/>
      <c r="E101" s="189"/>
      <c r="F101" s="41" t="s">
        <v>77</v>
      </c>
      <c r="G101" s="42">
        <f>+E99*0.4</f>
        <v>0.13</v>
      </c>
      <c r="H101" s="43"/>
      <c r="I101" s="44"/>
      <c r="J101" s="45">
        <v>0.82499999999999996</v>
      </c>
      <c r="K101" s="189"/>
      <c r="L101" s="189"/>
      <c r="M101" s="189"/>
      <c r="N101" s="189"/>
      <c r="O101" s="189"/>
      <c r="P101" s="194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09"/>
      <c r="C102" s="189"/>
      <c r="D102" s="189"/>
      <c r="E102" s="189"/>
      <c r="F102" s="41" t="s">
        <v>78</v>
      </c>
      <c r="G102" s="42">
        <f>IF(E99&lt;0.125,"NA",IF(0.125&lt;=E99,(0.8*E99)))</f>
        <v>0.26</v>
      </c>
      <c r="H102" s="43"/>
      <c r="I102" s="44"/>
      <c r="J102" s="45">
        <v>0.85599999999999998</v>
      </c>
      <c r="K102" s="189"/>
      <c r="L102" s="189"/>
      <c r="M102" s="189"/>
      <c r="N102" s="189"/>
      <c r="O102" s="189"/>
      <c r="P102" s="194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0"/>
      <c r="C103" s="190"/>
      <c r="D103" s="190"/>
      <c r="E103" s="190"/>
      <c r="F103" s="46" t="s">
        <v>79</v>
      </c>
      <c r="G103" s="47">
        <f>+E99</f>
        <v>0.32500000000000001</v>
      </c>
      <c r="H103" s="48"/>
      <c r="I103" s="49"/>
      <c r="J103" s="50">
        <v>0.60899999999999999</v>
      </c>
      <c r="K103" s="190"/>
      <c r="L103" s="190"/>
      <c r="M103" s="190"/>
      <c r="N103" s="190"/>
      <c r="O103" s="190"/>
      <c r="P103" s="195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08">
        <f>+B99+1</f>
        <v>18</v>
      </c>
      <c r="C104" s="211">
        <f>+C99+$N$12</f>
        <v>8.2000000000000028</v>
      </c>
      <c r="D104" s="188">
        <v>7.8E-2</v>
      </c>
      <c r="E104" s="188">
        <v>0.31</v>
      </c>
      <c r="F104" s="36" t="s">
        <v>75</v>
      </c>
      <c r="G104" s="37">
        <v>0</v>
      </c>
      <c r="H104" s="38"/>
      <c r="I104" s="39"/>
      <c r="J104" s="40">
        <v>0.60199999999999998</v>
      </c>
      <c r="K104" s="188">
        <f>+IF(E104&lt;=0.12,(J106),(IF(E104&lt;0.16,((J105+2*J106+J107)/4),IF(E104&gt;=0.16,((J104+3*J105+2*J106+3*J107+J108)/10)))))</f>
        <v>0.79239999999999999</v>
      </c>
      <c r="L104" s="188">
        <f>ROUND(+(D99+D104)/2*(C104-C99),3)</f>
        <v>8.3000000000000004E-2</v>
      </c>
      <c r="M104" s="188">
        <f>ROUND(+K104*L104,4)</f>
        <v>6.5799999999999997E-2</v>
      </c>
      <c r="N104" s="191">
        <f>ROUND(+M104/$M$133*100,2)</f>
        <v>2.68</v>
      </c>
      <c r="O104" s="192"/>
      <c r="P104" s="193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09"/>
      <c r="C105" s="189"/>
      <c r="D105" s="189"/>
      <c r="E105" s="189"/>
      <c r="F105" s="41" t="s">
        <v>76</v>
      </c>
      <c r="G105" s="42">
        <f>IF(E104&lt;0.125,"NA",IF(0.125&lt;=E104,(0.2*E104)))</f>
        <v>6.2E-2</v>
      </c>
      <c r="H105" s="43"/>
      <c r="I105" s="44"/>
      <c r="J105" s="45">
        <v>0.754</v>
      </c>
      <c r="K105" s="189"/>
      <c r="L105" s="189"/>
      <c r="M105" s="189"/>
      <c r="N105" s="189"/>
      <c r="O105" s="189"/>
      <c r="P105" s="194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09"/>
      <c r="C106" s="189"/>
      <c r="D106" s="189"/>
      <c r="E106" s="189"/>
      <c r="F106" s="41" t="s">
        <v>77</v>
      </c>
      <c r="G106" s="42">
        <f>+E104*0.4</f>
        <v>0.124</v>
      </c>
      <c r="H106" s="43"/>
      <c r="I106" s="44"/>
      <c r="J106" s="45">
        <v>0.83</v>
      </c>
      <c r="K106" s="189"/>
      <c r="L106" s="189"/>
      <c r="M106" s="189"/>
      <c r="N106" s="189"/>
      <c r="O106" s="189"/>
      <c r="P106" s="194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09"/>
      <c r="C107" s="189"/>
      <c r="D107" s="189"/>
      <c r="E107" s="189"/>
      <c r="F107" s="41" t="s">
        <v>78</v>
      </c>
      <c r="G107" s="42">
        <f>IF(E104&lt;0.125,"NA",IF(0.125&lt;=E104,(0.8*E104)))</f>
        <v>0.248</v>
      </c>
      <c r="H107" s="43"/>
      <c r="I107" s="44"/>
      <c r="J107" s="45">
        <v>0.84499999999999997</v>
      </c>
      <c r="K107" s="189"/>
      <c r="L107" s="189"/>
      <c r="M107" s="189"/>
      <c r="N107" s="189"/>
      <c r="O107" s="189"/>
      <c r="P107" s="194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0"/>
      <c r="C108" s="190"/>
      <c r="D108" s="190"/>
      <c r="E108" s="190"/>
      <c r="F108" s="46" t="s">
        <v>79</v>
      </c>
      <c r="G108" s="47">
        <f>+E104</f>
        <v>0.31</v>
      </c>
      <c r="H108" s="48"/>
      <c r="I108" s="49"/>
      <c r="J108" s="50">
        <v>0.86499999999999999</v>
      </c>
      <c r="K108" s="190"/>
      <c r="L108" s="190"/>
      <c r="M108" s="190"/>
      <c r="N108" s="190"/>
      <c r="O108" s="190"/>
      <c r="P108" s="195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08">
        <f>+B104+1</f>
        <v>19</v>
      </c>
      <c r="C109" s="211">
        <f>+C104+$N$12</f>
        <v>8.6000000000000032</v>
      </c>
      <c r="D109" s="188">
        <v>0.23</v>
      </c>
      <c r="E109" s="188">
        <v>0.3</v>
      </c>
      <c r="F109" s="36" t="s">
        <v>75</v>
      </c>
      <c r="G109" s="37">
        <v>0</v>
      </c>
      <c r="H109" s="38"/>
      <c r="I109" s="39"/>
      <c r="J109" s="40">
        <v>0.80900000000000005</v>
      </c>
      <c r="K109" s="188">
        <f>+IF(E109&lt;=0.12,(J111),(IF(E109&lt;0.16,((J110+2*J111+J112)/4),IF(E109&gt;=0.16,((J109+3*J110+2*J111+3*J112+J113)/10)))))</f>
        <v>0.90890000000000004</v>
      </c>
      <c r="L109" s="188">
        <f>ROUND(+(D104+D109)/2*(C109-C104),3)</f>
        <v>6.2E-2</v>
      </c>
      <c r="M109" s="188">
        <f>ROUND(+K109*L109,4)</f>
        <v>5.6399999999999999E-2</v>
      </c>
      <c r="N109" s="191">
        <f>ROUND(+M109/$M$133*100,2)</f>
        <v>2.29</v>
      </c>
      <c r="O109" s="192"/>
      <c r="P109" s="193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09"/>
      <c r="C110" s="189"/>
      <c r="D110" s="189"/>
      <c r="E110" s="189"/>
      <c r="F110" s="41" t="s">
        <v>76</v>
      </c>
      <c r="G110" s="42">
        <f>IF(E109&lt;0.125,"NA",IF(0.125&lt;=E109,(0.2*E109)))</f>
        <v>0.06</v>
      </c>
      <c r="H110" s="43"/>
      <c r="I110" s="44"/>
      <c r="J110" s="45">
        <v>0.85599999999999998</v>
      </c>
      <c r="K110" s="189"/>
      <c r="L110" s="189"/>
      <c r="M110" s="189"/>
      <c r="N110" s="189"/>
      <c r="O110" s="189"/>
      <c r="P110" s="194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09"/>
      <c r="C111" s="189"/>
      <c r="D111" s="189"/>
      <c r="E111" s="189"/>
      <c r="F111" s="41" t="s">
        <v>77</v>
      </c>
      <c r="G111" s="42">
        <f>+E109*0.4</f>
        <v>0.12</v>
      </c>
      <c r="H111" s="43"/>
      <c r="I111" s="44"/>
      <c r="J111" s="45">
        <v>0.92700000000000005</v>
      </c>
      <c r="K111" s="189"/>
      <c r="L111" s="189"/>
      <c r="M111" s="189"/>
      <c r="N111" s="189"/>
      <c r="O111" s="189"/>
      <c r="P111" s="194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09"/>
      <c r="C112" s="189"/>
      <c r="D112" s="189"/>
      <c r="E112" s="189"/>
      <c r="F112" s="41" t="s">
        <v>78</v>
      </c>
      <c r="G112" s="42">
        <f>IF(E109&lt;0.125,"NA",IF(0.125&lt;=E109,(0.8*E109)))</f>
        <v>0.24</v>
      </c>
      <c r="H112" s="43"/>
      <c r="I112" s="44"/>
      <c r="J112" s="45">
        <v>0.98199999999999998</v>
      </c>
      <c r="K112" s="189"/>
      <c r="L112" s="189"/>
      <c r="M112" s="189"/>
      <c r="N112" s="189"/>
      <c r="O112" s="189"/>
      <c r="P112" s="194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0"/>
      <c r="C113" s="190"/>
      <c r="D113" s="190"/>
      <c r="E113" s="190"/>
      <c r="F113" s="46" t="s">
        <v>79</v>
      </c>
      <c r="G113" s="47">
        <f>+E109</f>
        <v>0.3</v>
      </c>
      <c r="H113" s="48"/>
      <c r="I113" s="49"/>
      <c r="J113" s="50">
        <v>0.91200000000000003</v>
      </c>
      <c r="K113" s="190"/>
      <c r="L113" s="190"/>
      <c r="M113" s="190"/>
      <c r="N113" s="190"/>
      <c r="O113" s="190"/>
      <c r="P113" s="195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" customFormat="1" ht="13.5" customHeight="1" x14ac:dyDescent="0.2">
      <c r="B114" s="196" t="s">
        <v>28</v>
      </c>
      <c r="C114" s="199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1"/>
    </row>
    <row r="115" spans="1:26" s="3" customFormat="1" ht="14.1" customHeight="1" x14ac:dyDescent="0.2">
      <c r="B115" s="197"/>
      <c r="C115" s="202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4"/>
    </row>
    <row r="116" spans="1:26" s="3" customFormat="1" ht="14.1" customHeight="1" x14ac:dyDescent="0.2">
      <c r="B116" s="197"/>
      <c r="C116" s="202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4"/>
    </row>
    <row r="117" spans="1:26" s="3" customFormat="1" ht="14.1" customHeight="1" x14ac:dyDescent="0.2">
      <c r="B117" s="197"/>
      <c r="C117" s="202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4"/>
    </row>
    <row r="118" spans="1:26" s="3" customFormat="1" ht="14.1" customHeight="1" x14ac:dyDescent="0.2">
      <c r="B118" s="197"/>
      <c r="C118" s="202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4"/>
    </row>
    <row r="119" spans="1:26" s="3" customFormat="1" ht="14.1" customHeight="1" thickBot="1" x14ac:dyDescent="0.25">
      <c r="B119" s="198"/>
      <c r="C119" s="205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7"/>
    </row>
    <row r="120" spans="1:26" s="3" customFormat="1" ht="28.5" customHeight="1" thickBot="1" x14ac:dyDescent="0.25">
      <c r="A120" s="51"/>
      <c r="B120" s="52" t="s">
        <v>80</v>
      </c>
      <c r="C120" s="175" t="s">
        <v>81</v>
      </c>
      <c r="D120" s="175"/>
      <c r="E120" s="175"/>
      <c r="F120" s="175"/>
      <c r="G120" s="175"/>
      <c r="H120" s="176"/>
      <c r="I120" s="177"/>
      <c r="J120" s="52" t="s">
        <v>82</v>
      </c>
      <c r="K120" s="175" t="s">
        <v>83</v>
      </c>
      <c r="L120" s="175"/>
      <c r="M120" s="175"/>
      <c r="N120" s="175"/>
      <c r="O120" s="175"/>
      <c r="P120" s="176"/>
    </row>
    <row r="121" spans="1:26" s="3" customFormat="1" ht="28.5" customHeight="1" thickBot="1" x14ac:dyDescent="0.25">
      <c r="B121" s="53" t="s">
        <v>84</v>
      </c>
      <c r="C121" s="179" t="s">
        <v>85</v>
      </c>
      <c r="D121" s="179"/>
      <c r="E121" s="179"/>
      <c r="F121" s="179"/>
      <c r="G121" s="179"/>
      <c r="H121" s="180"/>
      <c r="I121" s="178"/>
      <c r="J121" s="53" t="s">
        <v>86</v>
      </c>
      <c r="K121" s="179" t="s">
        <v>87</v>
      </c>
      <c r="L121" s="179"/>
      <c r="M121" s="179"/>
      <c r="N121" s="179"/>
      <c r="O121" s="179"/>
      <c r="P121" s="180"/>
    </row>
    <row r="122" spans="1:26" s="91" customFormat="1" ht="13.5" customHeight="1" x14ac:dyDescent="0.25">
      <c r="A122" s="54"/>
      <c r="B122" s="181">
        <f>+B74</f>
        <v>12</v>
      </c>
      <c r="C122" s="184">
        <f>+C69</f>
        <v>5.4</v>
      </c>
      <c r="D122" s="186">
        <f>+D69</f>
        <v>0.66</v>
      </c>
      <c r="E122" s="186">
        <f>+E39</f>
        <v>0.42</v>
      </c>
      <c r="F122" s="55" t="s">
        <v>75</v>
      </c>
      <c r="G122" s="55">
        <v>0.01</v>
      </c>
      <c r="H122" s="56"/>
      <c r="I122" s="57"/>
      <c r="J122" s="58">
        <v>0.94399999999999995</v>
      </c>
      <c r="K122" s="187">
        <f>+AVERAGE(J122:J132)</f>
        <v>1.5127272727272727</v>
      </c>
      <c r="L122" s="166">
        <f>ROUND(+(D122+D127)/2*(C127-C122),3)</f>
        <v>0.26</v>
      </c>
      <c r="M122" s="169">
        <f>ROUND(+K122*L122,4)</f>
        <v>0.39329999999999998</v>
      </c>
      <c r="N122" s="166">
        <f>ROUND(+M122/$M$133*100,2)</f>
        <v>15.99</v>
      </c>
      <c r="O122" s="166"/>
      <c r="P122" s="170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1" customFormat="1" ht="13.5" customHeight="1" x14ac:dyDescent="0.25">
      <c r="A123" s="54"/>
      <c r="B123" s="182"/>
      <c r="C123" s="167"/>
      <c r="D123" s="167"/>
      <c r="E123" s="167"/>
      <c r="F123" s="60" t="s">
        <v>88</v>
      </c>
      <c r="G123" s="61">
        <f>+E122*0.1</f>
        <v>4.2000000000000003E-2</v>
      </c>
      <c r="H123" s="62"/>
      <c r="I123" s="63"/>
      <c r="J123" s="64">
        <v>1.1200000000000001</v>
      </c>
      <c r="K123" s="167"/>
      <c r="L123" s="167"/>
      <c r="M123" s="167"/>
      <c r="N123" s="167"/>
      <c r="O123" s="167"/>
      <c r="P123" s="171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1" customFormat="1" ht="13.5" customHeight="1" x14ac:dyDescent="0.25">
      <c r="A124" s="54"/>
      <c r="B124" s="182"/>
      <c r="C124" s="167"/>
      <c r="D124" s="167"/>
      <c r="E124" s="167"/>
      <c r="F124" s="60" t="s">
        <v>89</v>
      </c>
      <c r="G124" s="61">
        <f>+E122*0.2</f>
        <v>8.4000000000000005E-2</v>
      </c>
      <c r="H124" s="62"/>
      <c r="I124" s="63"/>
      <c r="J124" s="64">
        <v>1.3620000000000001</v>
      </c>
      <c r="K124" s="167"/>
      <c r="L124" s="167"/>
      <c r="M124" s="167"/>
      <c r="N124" s="167"/>
      <c r="O124" s="167"/>
      <c r="P124" s="171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1" customFormat="1" ht="13.5" customHeight="1" x14ac:dyDescent="0.25">
      <c r="A125" s="54"/>
      <c r="B125" s="182"/>
      <c r="C125" s="167"/>
      <c r="D125" s="167"/>
      <c r="E125" s="167"/>
      <c r="F125" s="60" t="s">
        <v>90</v>
      </c>
      <c r="G125" s="61">
        <f>+E122*0.3</f>
        <v>0.126</v>
      </c>
      <c r="H125" s="62"/>
      <c r="I125" s="63"/>
      <c r="J125" s="64">
        <v>1.5429999999999999</v>
      </c>
      <c r="K125" s="167"/>
      <c r="L125" s="167"/>
      <c r="M125" s="167"/>
      <c r="N125" s="167"/>
      <c r="O125" s="167"/>
      <c r="P125" s="171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1" customFormat="1" ht="13.5" customHeight="1" x14ac:dyDescent="0.25">
      <c r="A126" s="54"/>
      <c r="B126" s="182"/>
      <c r="C126" s="185"/>
      <c r="D126" s="185"/>
      <c r="E126" s="167"/>
      <c r="F126" s="60" t="s">
        <v>91</v>
      </c>
      <c r="G126" s="61">
        <f>+E122*0.4</f>
        <v>0.16800000000000001</v>
      </c>
      <c r="H126" s="62"/>
      <c r="I126" s="63"/>
      <c r="J126" s="64">
        <v>1.5860000000000001</v>
      </c>
      <c r="K126" s="167"/>
      <c r="L126" s="167"/>
      <c r="M126" s="167"/>
      <c r="N126" s="167"/>
      <c r="O126" s="167"/>
      <c r="P126" s="171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1" customFormat="1" ht="13.5" customHeight="1" x14ac:dyDescent="0.25">
      <c r="A127" s="54"/>
      <c r="B127" s="182"/>
      <c r="C127" s="173">
        <f>+C74</f>
        <v>5.8000000000000007</v>
      </c>
      <c r="D127" s="174">
        <f>+D74</f>
        <v>0.64</v>
      </c>
      <c r="E127" s="167"/>
      <c r="F127" s="60" t="s">
        <v>29</v>
      </c>
      <c r="G127" s="61">
        <f>+E122*0.5</f>
        <v>0.21</v>
      </c>
      <c r="H127" s="62"/>
      <c r="I127" s="63"/>
      <c r="J127" s="64">
        <v>1.5489999999999999</v>
      </c>
      <c r="K127" s="167"/>
      <c r="L127" s="167"/>
      <c r="M127" s="167"/>
      <c r="N127" s="167"/>
      <c r="O127" s="167"/>
      <c r="P127" s="171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182"/>
      <c r="C128" s="167"/>
      <c r="D128" s="167"/>
      <c r="E128" s="167"/>
      <c r="F128" s="60" t="s">
        <v>92</v>
      </c>
      <c r="G128" s="61">
        <f>+E122*0.6</f>
        <v>0.252</v>
      </c>
      <c r="H128" s="62"/>
      <c r="I128" s="63"/>
      <c r="J128" s="64">
        <v>1.5409999999999999</v>
      </c>
      <c r="K128" s="167"/>
      <c r="L128" s="167"/>
      <c r="M128" s="167"/>
      <c r="N128" s="167"/>
      <c r="O128" s="167"/>
      <c r="P128" s="171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182"/>
      <c r="C129" s="167"/>
      <c r="D129" s="167"/>
      <c r="E129" s="167"/>
      <c r="F129" s="60" t="s">
        <v>93</v>
      </c>
      <c r="G129" s="61">
        <f>+E122*0.7</f>
        <v>0.29399999999999998</v>
      </c>
      <c r="H129" s="62"/>
      <c r="I129" s="63"/>
      <c r="J129" s="64">
        <v>1.5740000000000001</v>
      </c>
      <c r="K129" s="167"/>
      <c r="L129" s="167"/>
      <c r="M129" s="167"/>
      <c r="N129" s="167"/>
      <c r="O129" s="167"/>
      <c r="P129" s="171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182"/>
      <c r="C130" s="167"/>
      <c r="D130" s="167"/>
      <c r="E130" s="167"/>
      <c r="F130" s="60" t="s">
        <v>94</v>
      </c>
      <c r="G130" s="61">
        <f>+E122*0.8</f>
        <v>0.33600000000000002</v>
      </c>
      <c r="H130" s="62"/>
      <c r="I130" s="63"/>
      <c r="J130" s="64">
        <v>1.843</v>
      </c>
      <c r="K130" s="167"/>
      <c r="L130" s="167"/>
      <c r="M130" s="167"/>
      <c r="N130" s="167"/>
      <c r="O130" s="167"/>
      <c r="P130" s="171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182"/>
      <c r="C131" s="167"/>
      <c r="D131" s="167"/>
      <c r="E131" s="167"/>
      <c r="F131" s="60" t="s">
        <v>95</v>
      </c>
      <c r="G131" s="61">
        <f>+E122*0.9</f>
        <v>0.378</v>
      </c>
      <c r="H131" s="62"/>
      <c r="I131" s="63"/>
      <c r="J131" s="64">
        <v>1.8129999999999999</v>
      </c>
      <c r="K131" s="167"/>
      <c r="L131" s="167"/>
      <c r="M131" s="167"/>
      <c r="N131" s="167"/>
      <c r="O131" s="167"/>
      <c r="P131" s="171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5.75" thickBot="1" x14ac:dyDescent="0.3">
      <c r="A132" s="54"/>
      <c r="B132" s="183"/>
      <c r="C132" s="168"/>
      <c r="D132" s="168"/>
      <c r="E132" s="168"/>
      <c r="F132" s="65" t="s">
        <v>30</v>
      </c>
      <c r="G132" s="65">
        <f>+E122</f>
        <v>0.42</v>
      </c>
      <c r="H132" s="66"/>
      <c r="I132" s="67"/>
      <c r="J132" s="68">
        <v>1.7649999999999999</v>
      </c>
      <c r="K132" s="168"/>
      <c r="L132" s="168"/>
      <c r="M132" s="168"/>
      <c r="N132" s="168"/>
      <c r="O132" s="168"/>
      <c r="P132" s="172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3" customFormat="1" ht="12.75" x14ac:dyDescent="0.2">
      <c r="A133" s="8"/>
      <c r="B133" s="154"/>
      <c r="C133" s="154"/>
      <c r="D133" s="154"/>
      <c r="E133" s="154"/>
      <c r="F133" s="154"/>
      <c r="G133" s="154"/>
      <c r="H133" s="154"/>
      <c r="I133" s="154"/>
      <c r="J133" s="154"/>
      <c r="K133" s="13">
        <f>ROUND(+M133/L133,3)</f>
        <v>0.82499999999999996</v>
      </c>
      <c r="L133" s="12">
        <f>SUM(L19:L132)</f>
        <v>2.9830000000000005</v>
      </c>
      <c r="M133" s="11">
        <f>SUM(M19:M132)</f>
        <v>2.4597000000000002</v>
      </c>
      <c r="N133" s="9">
        <f>ROUND(SUM(N19:N132),0)</f>
        <v>100</v>
      </c>
      <c r="O133" s="156" t="s">
        <v>31</v>
      </c>
      <c r="P133" s="158"/>
    </row>
    <row r="134" spans="1:26" s="3" customFormat="1" ht="15" customHeight="1" thickBot="1" x14ac:dyDescent="0.25">
      <c r="A134" s="8"/>
      <c r="B134" s="155"/>
      <c r="C134" s="155"/>
      <c r="D134" s="155"/>
      <c r="E134" s="155"/>
      <c r="F134" s="155"/>
      <c r="G134" s="155"/>
      <c r="H134" s="155"/>
      <c r="I134" s="155"/>
      <c r="J134" s="155"/>
      <c r="K134" s="10" t="s">
        <v>32</v>
      </c>
      <c r="L134" s="10" t="s">
        <v>48</v>
      </c>
      <c r="M134" s="10" t="s">
        <v>100</v>
      </c>
      <c r="N134" s="10" t="s">
        <v>33</v>
      </c>
      <c r="O134" s="157"/>
      <c r="P134" s="159"/>
    </row>
    <row r="135" spans="1:26" ht="15" customHeight="1" thickBot="1" x14ac:dyDescent="0.3">
      <c r="A135" s="93"/>
      <c r="B135" s="160" t="s">
        <v>96</v>
      </c>
      <c r="C135" s="161"/>
      <c r="D135" s="161"/>
      <c r="E135" s="161"/>
      <c r="F135" s="162"/>
      <c r="G135" s="160" t="s">
        <v>97</v>
      </c>
      <c r="H135" s="161"/>
      <c r="I135" s="161"/>
      <c r="J135" s="161"/>
      <c r="K135" s="162"/>
      <c r="L135" s="163" t="s">
        <v>49</v>
      </c>
      <c r="M135" s="164"/>
      <c r="N135" s="164"/>
      <c r="O135" s="164"/>
      <c r="P135" s="165"/>
    </row>
    <row r="136" spans="1:26" ht="15" customHeight="1" x14ac:dyDescent="0.25">
      <c r="A136" s="93"/>
      <c r="B136" s="124"/>
      <c r="C136" s="125"/>
      <c r="D136" s="125"/>
      <c r="E136" s="125"/>
      <c r="F136" s="126"/>
      <c r="G136" s="124"/>
      <c r="H136" s="125"/>
      <c r="I136" s="125"/>
      <c r="J136" s="125"/>
      <c r="K136" s="126"/>
      <c r="L136" s="133" t="s">
        <v>98</v>
      </c>
      <c r="M136" s="134"/>
      <c r="N136" s="134"/>
      <c r="O136" s="135">
        <f>+AVERAGE(E18:E113)</f>
        <v>0.41121052631578953</v>
      </c>
      <c r="P136" s="136"/>
    </row>
    <row r="137" spans="1:26" ht="15" customHeight="1" thickBot="1" x14ac:dyDescent="0.3">
      <c r="A137" s="93"/>
      <c r="B137" s="127"/>
      <c r="C137" s="128"/>
      <c r="D137" s="128"/>
      <c r="E137" s="128"/>
      <c r="F137" s="129"/>
      <c r="G137" s="127"/>
      <c r="H137" s="128"/>
      <c r="I137" s="128"/>
      <c r="J137" s="128"/>
      <c r="K137" s="129"/>
      <c r="L137" s="137" t="s">
        <v>99</v>
      </c>
      <c r="M137" s="138"/>
      <c r="N137" s="138"/>
      <c r="O137" s="139">
        <f>MAX(E18:E113)</f>
        <v>0.66</v>
      </c>
      <c r="P137" s="140"/>
    </row>
    <row r="138" spans="1:26" ht="18.600000000000001" customHeight="1" x14ac:dyDescent="0.25">
      <c r="A138" s="94"/>
      <c r="B138" s="127"/>
      <c r="C138" s="128"/>
      <c r="D138" s="128"/>
      <c r="E138" s="128"/>
      <c r="F138" s="129"/>
      <c r="G138" s="127"/>
      <c r="H138" s="128"/>
      <c r="I138" s="128"/>
      <c r="J138" s="128"/>
      <c r="K138" s="129"/>
      <c r="L138" s="141"/>
      <c r="M138" s="142"/>
      <c r="N138" s="142"/>
      <c r="O138" s="142"/>
      <c r="P138" s="143"/>
    </row>
    <row r="139" spans="1:26" ht="42" customHeight="1" x14ac:dyDescent="0.25">
      <c r="A139" s="95"/>
      <c r="B139" s="127"/>
      <c r="C139" s="128"/>
      <c r="D139" s="128"/>
      <c r="E139" s="128"/>
      <c r="F139" s="129"/>
      <c r="G139" s="127"/>
      <c r="H139" s="128"/>
      <c r="I139" s="128"/>
      <c r="J139" s="128"/>
      <c r="K139" s="129"/>
      <c r="L139" s="144"/>
      <c r="M139" s="145"/>
      <c r="N139" s="145"/>
      <c r="O139" s="145"/>
      <c r="P139" s="146"/>
    </row>
    <row r="140" spans="1:26" ht="15" customHeight="1" thickBot="1" x14ac:dyDescent="0.3">
      <c r="A140" s="93"/>
      <c r="B140" s="127"/>
      <c r="C140" s="128"/>
      <c r="D140" s="128"/>
      <c r="E140" s="128"/>
      <c r="F140" s="129"/>
      <c r="G140" s="127"/>
      <c r="H140" s="128"/>
      <c r="I140" s="128"/>
      <c r="J140" s="128"/>
      <c r="K140" s="129"/>
      <c r="L140" s="147"/>
      <c r="M140" s="148"/>
      <c r="N140" s="148"/>
      <c r="O140" s="148"/>
      <c r="P140" s="149"/>
    </row>
    <row r="141" spans="1:26" ht="22.5" customHeight="1" thickBot="1" x14ac:dyDescent="0.3">
      <c r="A141" s="93"/>
      <c r="B141" s="127"/>
      <c r="C141" s="128"/>
      <c r="D141" s="128"/>
      <c r="E141" s="128"/>
      <c r="F141" s="129"/>
      <c r="G141" s="127"/>
      <c r="H141" s="128"/>
      <c r="I141" s="128"/>
      <c r="J141" s="128"/>
      <c r="K141" s="129"/>
      <c r="L141" s="150" t="s">
        <v>34</v>
      </c>
      <c r="M141" s="151"/>
      <c r="N141" s="151"/>
      <c r="O141" s="151"/>
      <c r="P141" s="90">
        <v>8.27</v>
      </c>
    </row>
    <row r="142" spans="1:26" ht="32.25" customHeight="1" thickBot="1" x14ac:dyDescent="0.3">
      <c r="A142" s="93"/>
      <c r="B142" s="130"/>
      <c r="C142" s="131"/>
      <c r="D142" s="131"/>
      <c r="E142" s="131"/>
      <c r="F142" s="132"/>
      <c r="G142" s="130"/>
      <c r="H142" s="131"/>
      <c r="I142" s="131"/>
      <c r="J142" s="131"/>
      <c r="K142" s="132"/>
      <c r="L142" s="152" t="s">
        <v>102</v>
      </c>
      <c r="M142" s="153"/>
      <c r="N142" s="153"/>
      <c r="O142" s="153"/>
      <c r="P142" s="98" t="s">
        <v>110</v>
      </c>
    </row>
    <row r="143" spans="1:26" ht="23.45" customHeight="1" thickBot="1" x14ac:dyDescent="0.3">
      <c r="A143" s="5"/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</row>
    <row r="144" spans="1:26" ht="15.75" thickBot="1" x14ac:dyDescent="0.3">
      <c r="A144" s="115" t="s">
        <v>35</v>
      </c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3"/>
    </row>
    <row r="145" spans="1:16" ht="159" customHeight="1" thickBot="1" x14ac:dyDescent="0.3">
      <c r="A145" s="4"/>
      <c r="B145" s="314"/>
      <c r="C145" s="315"/>
      <c r="D145" s="315"/>
      <c r="E145" s="315"/>
      <c r="F145" s="316"/>
      <c r="G145" s="314"/>
      <c r="H145" s="315"/>
      <c r="I145" s="315"/>
      <c r="J145" s="315"/>
      <c r="K145" s="316"/>
      <c r="L145" s="314"/>
      <c r="M145" s="315"/>
      <c r="N145" s="315"/>
      <c r="O145" s="315"/>
      <c r="P145" s="316"/>
    </row>
    <row r="146" spans="1:16" ht="21.75" customHeight="1" thickBot="1" x14ac:dyDescent="0.3">
      <c r="A146" s="4"/>
      <c r="B146" s="317" t="s">
        <v>126</v>
      </c>
      <c r="C146" s="318"/>
      <c r="D146" s="318"/>
      <c r="E146" s="318"/>
      <c r="F146" s="319"/>
      <c r="G146" s="317"/>
      <c r="H146" s="318"/>
      <c r="I146" s="318"/>
      <c r="J146" s="318"/>
      <c r="K146" s="319"/>
      <c r="L146" s="317"/>
      <c r="M146" s="318"/>
      <c r="N146" s="318"/>
      <c r="O146" s="318"/>
      <c r="P146" s="319"/>
    </row>
    <row r="147" spans="1:16" s="7" customFormat="1" ht="16.899999999999999" customHeight="1" thickBot="1" x14ac:dyDescent="0.3">
      <c r="A147" s="6"/>
      <c r="B147" s="304"/>
      <c r="C147" s="304"/>
      <c r="D147" s="304"/>
      <c r="E147" s="304"/>
      <c r="F147" s="304"/>
      <c r="G147" s="304"/>
      <c r="H147" s="304"/>
      <c r="I147" s="304"/>
      <c r="J147" s="304"/>
      <c r="K147" s="304"/>
      <c r="L147" s="304"/>
      <c r="M147" s="304"/>
      <c r="N147" s="304"/>
      <c r="O147" s="304"/>
      <c r="P147" s="305"/>
    </row>
    <row r="148" spans="1:16" s="3" customFormat="1" ht="15.75" customHeight="1" thickBot="1" x14ac:dyDescent="0.25">
      <c r="A148" s="306" t="s">
        <v>36</v>
      </c>
      <c r="B148" s="307"/>
      <c r="C148" s="308"/>
      <c r="D148" s="309"/>
      <c r="E148" s="307"/>
      <c r="F148" s="307"/>
      <c r="G148" s="307"/>
      <c r="H148" s="307"/>
      <c r="I148" s="308"/>
      <c r="J148" s="309" t="s">
        <v>37</v>
      </c>
      <c r="K148" s="308"/>
      <c r="L148" s="309"/>
      <c r="M148" s="307"/>
      <c r="N148" s="307"/>
      <c r="O148" s="307"/>
      <c r="P148" s="310"/>
    </row>
  </sheetData>
  <mergeCells count="29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9:M113"/>
    <mergeCell ref="N109:N113"/>
    <mergeCell ref="O109:O113"/>
    <mergeCell ref="P109:P113"/>
    <mergeCell ref="B114:B119"/>
    <mergeCell ref="C114:P119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C120:H120"/>
    <mergeCell ref="I120:I121"/>
    <mergeCell ref="K120:P120"/>
    <mergeCell ref="C121:H121"/>
    <mergeCell ref="K121:P121"/>
    <mergeCell ref="B122:B132"/>
    <mergeCell ref="C122:C126"/>
    <mergeCell ref="D122:D126"/>
    <mergeCell ref="E122:E132"/>
    <mergeCell ref="K122:K132"/>
    <mergeCell ref="B133:J134"/>
    <mergeCell ref="O133:O134"/>
    <mergeCell ref="P133:P134"/>
    <mergeCell ref="B135:F135"/>
    <mergeCell ref="G135:K135"/>
    <mergeCell ref="L135:P135"/>
    <mergeCell ref="L122:L132"/>
    <mergeCell ref="M122:M132"/>
    <mergeCell ref="N122:N132"/>
    <mergeCell ref="O122:O132"/>
    <mergeCell ref="P122:P132"/>
    <mergeCell ref="C127:C132"/>
    <mergeCell ref="D127:D132"/>
    <mergeCell ref="B136:F142"/>
    <mergeCell ref="G136:K142"/>
    <mergeCell ref="L136:N136"/>
    <mergeCell ref="O136:P136"/>
    <mergeCell ref="L137:N137"/>
    <mergeCell ref="O137:P137"/>
    <mergeCell ref="L138:P140"/>
    <mergeCell ref="L141:O141"/>
    <mergeCell ref="L142:O142"/>
    <mergeCell ref="B147:P147"/>
    <mergeCell ref="A148:C148"/>
    <mergeCell ref="D148:I148"/>
    <mergeCell ref="J148:K148"/>
    <mergeCell ref="L148:P148"/>
    <mergeCell ref="B143:P143"/>
    <mergeCell ref="A144:P144"/>
    <mergeCell ref="B145:F145"/>
    <mergeCell ref="G145:K145"/>
    <mergeCell ref="L145:P145"/>
    <mergeCell ref="B146:F146"/>
    <mergeCell ref="G146:K146"/>
    <mergeCell ref="L146:P146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2019-05-17T15:50:57Z</dcterms:modified>
</cp:coreProperties>
</file>