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45" r:id="rId2"/>
    <sheet name="Aforo 2" sheetId="46" r:id="rId3"/>
    <sheet name="Aforo 3" sheetId="47" r:id="rId4"/>
    <sheet name="Aforo 4" sheetId="48" r:id="rId5"/>
  </sheets>
  <definedNames>
    <definedName name="_xlnm.Print_Area" localSheetId="2">'Aforo 2'!$B$1:$P$108</definedName>
    <definedName name="_xlnm.Print_Area" localSheetId="3">'Aforo 3'!$B$1:$P$103</definedName>
    <definedName name="_xlnm.Print_Area" localSheetId="4">'Aforo 4'!$B$1:$P$133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2" i="48" l="1"/>
  <c r="O121" i="48"/>
  <c r="G116" i="48"/>
  <c r="G112" i="48"/>
  <c r="D112" i="48"/>
  <c r="G110" i="48"/>
  <c r="G109" i="48"/>
  <c r="K107" i="48"/>
  <c r="E107" i="48"/>
  <c r="G115" i="48" s="1"/>
  <c r="D107" i="48"/>
  <c r="B107" i="48"/>
  <c r="G98" i="48"/>
  <c r="G97" i="48"/>
  <c r="G96" i="48"/>
  <c r="G95" i="48"/>
  <c r="K94" i="48"/>
  <c r="G93" i="48"/>
  <c r="G92" i="48"/>
  <c r="G91" i="48"/>
  <c r="G90" i="48"/>
  <c r="K89" i="48"/>
  <c r="G88" i="48"/>
  <c r="G87" i="48"/>
  <c r="G86" i="48"/>
  <c r="G85" i="48"/>
  <c r="K84" i="48"/>
  <c r="G83" i="48"/>
  <c r="G82" i="48"/>
  <c r="G81" i="48"/>
  <c r="G80" i="48"/>
  <c r="K79" i="48"/>
  <c r="G78" i="48"/>
  <c r="G77" i="48"/>
  <c r="G76" i="48"/>
  <c r="G75" i="48"/>
  <c r="K74" i="48"/>
  <c r="G73" i="48"/>
  <c r="G72" i="48"/>
  <c r="G71" i="48"/>
  <c r="G70" i="48"/>
  <c r="K69" i="48"/>
  <c r="G68" i="48"/>
  <c r="G67" i="48"/>
  <c r="G66" i="48"/>
  <c r="G65" i="48"/>
  <c r="K64" i="48"/>
  <c r="G63" i="48"/>
  <c r="G62" i="48"/>
  <c r="G61" i="48"/>
  <c r="G60" i="48"/>
  <c r="G58" i="48"/>
  <c r="G57" i="48"/>
  <c r="G56" i="48"/>
  <c r="G55" i="48"/>
  <c r="K54" i="48"/>
  <c r="G53" i="48"/>
  <c r="G52" i="48"/>
  <c r="G51" i="48"/>
  <c r="G50" i="48"/>
  <c r="K49" i="48"/>
  <c r="G48" i="48"/>
  <c r="G47" i="48"/>
  <c r="G46" i="48"/>
  <c r="G45" i="48"/>
  <c r="K44" i="48"/>
  <c r="G43" i="48"/>
  <c r="G42" i="48"/>
  <c r="G41" i="48"/>
  <c r="G40" i="48"/>
  <c r="K39" i="48"/>
  <c r="G38" i="48"/>
  <c r="G37" i="48"/>
  <c r="G36" i="48"/>
  <c r="G35" i="48"/>
  <c r="K34" i="48"/>
  <c r="G33" i="48"/>
  <c r="G32" i="48"/>
  <c r="G31" i="48"/>
  <c r="G30" i="48"/>
  <c r="K29" i="48"/>
  <c r="G28" i="48"/>
  <c r="G27" i="48"/>
  <c r="G26" i="48"/>
  <c r="G25" i="48"/>
  <c r="K24" i="48"/>
  <c r="G23" i="48"/>
  <c r="G22" i="48"/>
  <c r="G21" i="48"/>
  <c r="G20" i="48"/>
  <c r="K19" i="48"/>
  <c r="C18" i="48"/>
  <c r="C19" i="48" s="1"/>
  <c r="C24" i="48" l="1"/>
  <c r="L19" i="48"/>
  <c r="M19" i="48" s="1"/>
  <c r="G111" i="48"/>
  <c r="G113" i="48"/>
  <c r="G117" i="48"/>
  <c r="G108" i="48"/>
  <c r="G114" i="48"/>
  <c r="C29" i="48" l="1"/>
  <c r="L24" i="48"/>
  <c r="M24" i="48" s="1"/>
  <c r="L29" i="48" l="1"/>
  <c r="M29" i="48" s="1"/>
  <c r="C34" i="48"/>
  <c r="L34" i="48" l="1"/>
  <c r="M34" i="48" s="1"/>
  <c r="C39" i="48"/>
  <c r="C44" i="48" l="1"/>
  <c r="L39" i="48"/>
  <c r="M39" i="48" l="1"/>
  <c r="C49" i="48"/>
  <c r="L44" i="48"/>
  <c r="M44" i="48" s="1"/>
  <c r="L49" i="48" l="1"/>
  <c r="M49" i="48" s="1"/>
  <c r="C54" i="48"/>
  <c r="C107" i="48" l="1"/>
  <c r="L54" i="48"/>
  <c r="M54" i="48" s="1"/>
  <c r="C59" i="48"/>
  <c r="C64" i="48" l="1"/>
  <c r="C112" i="48"/>
  <c r="L107" i="48" s="1"/>
  <c r="M107" i="48" l="1"/>
  <c r="C69" i="48"/>
  <c r="L64" i="48"/>
  <c r="M64" i="48" s="1"/>
  <c r="L69" i="48" l="1"/>
  <c r="M69" i="48" s="1"/>
  <c r="C74" i="48"/>
  <c r="L74" i="48" l="1"/>
  <c r="C79" i="48"/>
  <c r="C84" i="48" l="1"/>
  <c r="L79" i="48"/>
  <c r="M79" i="48" s="1"/>
  <c r="M74" i="48"/>
  <c r="L84" i="48" l="1"/>
  <c r="C89" i="48"/>
  <c r="M84" i="48" l="1"/>
  <c r="L89" i="48"/>
  <c r="M89" i="48" s="1"/>
  <c r="C94" i="48"/>
  <c r="L94" i="48" s="1"/>
  <c r="M94" i="48" s="1"/>
  <c r="L118" i="48" l="1"/>
  <c r="N89" i="48"/>
  <c r="N84" i="48"/>
  <c r="M118" i="48"/>
  <c r="K118" i="48" l="1"/>
  <c r="N19" i="48"/>
  <c r="N24" i="48"/>
  <c r="N29" i="48"/>
  <c r="N34" i="48"/>
  <c r="N44" i="48"/>
  <c r="N39" i="48"/>
  <c r="N49" i="48"/>
  <c r="N54" i="48"/>
  <c r="N107" i="48"/>
  <c r="N64" i="48"/>
  <c r="N69" i="48"/>
  <c r="N79" i="48"/>
  <c r="N74" i="48"/>
  <c r="N94" i="48"/>
  <c r="N118" i="48" l="1"/>
  <c r="O92" i="47" l="1"/>
  <c r="O91" i="47"/>
  <c r="G86" i="47"/>
  <c r="G85" i="47"/>
  <c r="G84" i="47"/>
  <c r="G82" i="47"/>
  <c r="D82" i="47"/>
  <c r="G80" i="47"/>
  <c r="G79" i="47"/>
  <c r="G78" i="47"/>
  <c r="K77" i="47"/>
  <c r="E77" i="47"/>
  <c r="G87" i="47" s="1"/>
  <c r="D77" i="47"/>
  <c r="B77" i="47"/>
  <c r="G68" i="47"/>
  <c r="G67" i="47"/>
  <c r="G66" i="47"/>
  <c r="G65" i="47"/>
  <c r="K64" i="47"/>
  <c r="G63" i="47"/>
  <c r="G62" i="47"/>
  <c r="G61" i="47"/>
  <c r="G60" i="47"/>
  <c r="K59" i="47"/>
  <c r="G58" i="47"/>
  <c r="G57" i="47"/>
  <c r="G56" i="47"/>
  <c r="G55" i="47"/>
  <c r="K54" i="47"/>
  <c r="G53" i="47"/>
  <c r="G52" i="47"/>
  <c r="G51" i="47"/>
  <c r="G50" i="47"/>
  <c r="K49" i="47"/>
  <c r="G48" i="47"/>
  <c r="G47" i="47"/>
  <c r="G46" i="47"/>
  <c r="G45" i="47"/>
  <c r="G43" i="47"/>
  <c r="G42" i="47"/>
  <c r="G41" i="47"/>
  <c r="G40" i="47"/>
  <c r="K39" i="47"/>
  <c r="G38" i="47"/>
  <c r="G37" i="47"/>
  <c r="G36" i="47"/>
  <c r="G35" i="47"/>
  <c r="K34" i="47"/>
  <c r="G33" i="47"/>
  <c r="G32" i="47"/>
  <c r="G31" i="47"/>
  <c r="G30" i="47"/>
  <c r="K29" i="47"/>
  <c r="G28" i="47"/>
  <c r="G27" i="47"/>
  <c r="G26" i="47"/>
  <c r="G25" i="47"/>
  <c r="K24" i="47"/>
  <c r="G23" i="47"/>
  <c r="G22" i="47"/>
  <c r="G21" i="47"/>
  <c r="G20" i="47"/>
  <c r="K19" i="47"/>
  <c r="C19" i="47"/>
  <c r="L19" i="47" s="1"/>
  <c r="C18" i="47"/>
  <c r="M19" i="47" l="1"/>
  <c r="C24" i="47"/>
  <c r="G81" i="47"/>
  <c r="G83" i="47"/>
  <c r="L24" i="47" l="1"/>
  <c r="C29" i="47"/>
  <c r="C34" i="47" l="1"/>
  <c r="L29" i="47"/>
  <c r="M29" i="47" s="1"/>
  <c r="M24" i="47"/>
  <c r="L34" i="47" l="1"/>
  <c r="C39" i="47"/>
  <c r="M34" i="47" l="1"/>
  <c r="L39" i="47"/>
  <c r="M39" i="47" s="1"/>
  <c r="C44" i="47"/>
  <c r="C77" i="47" l="1"/>
  <c r="C49" i="47"/>
  <c r="C82" i="47"/>
  <c r="L77" i="47" l="1"/>
  <c r="M77" i="47" s="1"/>
  <c r="C54" i="47"/>
  <c r="L49" i="47"/>
  <c r="M49" i="47" l="1"/>
  <c r="L54" i="47"/>
  <c r="M54" i="47" s="1"/>
  <c r="C59" i="47"/>
  <c r="L59" i="47" l="1"/>
  <c r="M59" i="47" s="1"/>
  <c r="C64" i="47"/>
  <c r="L64" i="47" s="1"/>
  <c r="M64" i="47" l="1"/>
  <c r="L88" i="47"/>
  <c r="N64" i="47" l="1"/>
  <c r="M88" i="47"/>
  <c r="K88" i="47" l="1"/>
  <c r="N19" i="47"/>
  <c r="N24" i="47"/>
  <c r="N29" i="47"/>
  <c r="N34" i="47"/>
  <c r="N39" i="47"/>
  <c r="N77" i="47"/>
  <c r="N54" i="47"/>
  <c r="N49" i="47"/>
  <c r="N59" i="47"/>
  <c r="N88" i="47" l="1"/>
  <c r="O97" i="46" l="1"/>
  <c r="O96" i="46"/>
  <c r="G91" i="46"/>
  <c r="G90" i="46"/>
  <c r="G87" i="46"/>
  <c r="D87" i="46"/>
  <c r="G85" i="46"/>
  <c r="G84" i="46"/>
  <c r="G83" i="46"/>
  <c r="K82" i="46"/>
  <c r="E82" i="46"/>
  <c r="G89" i="46" s="1"/>
  <c r="D82" i="46"/>
  <c r="B82" i="46"/>
  <c r="G73" i="46"/>
  <c r="G72" i="46"/>
  <c r="G71" i="46"/>
  <c r="G70" i="46"/>
  <c r="K69" i="46"/>
  <c r="G68" i="46"/>
  <c r="G67" i="46"/>
  <c r="G66" i="46"/>
  <c r="G65" i="46"/>
  <c r="K64" i="46"/>
  <c r="G63" i="46"/>
  <c r="G62" i="46"/>
  <c r="G61" i="46"/>
  <c r="G60" i="46"/>
  <c r="K59" i="46"/>
  <c r="G58" i="46"/>
  <c r="G57" i="46"/>
  <c r="G56" i="46"/>
  <c r="G55" i="46"/>
  <c r="K54" i="46"/>
  <c r="G53" i="46"/>
  <c r="G52" i="46"/>
  <c r="G51" i="46"/>
  <c r="G50" i="46"/>
  <c r="K49" i="46"/>
  <c r="G48" i="46"/>
  <c r="G47" i="46"/>
  <c r="G46" i="46"/>
  <c r="G45" i="46"/>
  <c r="K44" i="46"/>
  <c r="G43" i="46"/>
  <c r="G42" i="46"/>
  <c r="G41" i="46"/>
  <c r="G40" i="46"/>
  <c r="G38" i="46"/>
  <c r="G37" i="46"/>
  <c r="G36" i="46"/>
  <c r="G35" i="46"/>
  <c r="K34" i="46"/>
  <c r="G33" i="46"/>
  <c r="G32" i="46"/>
  <c r="G31" i="46"/>
  <c r="G30" i="46"/>
  <c r="K29" i="46"/>
  <c r="G28" i="46"/>
  <c r="G27" i="46"/>
  <c r="G26" i="46"/>
  <c r="G25" i="46"/>
  <c r="K24" i="46"/>
  <c r="G23" i="46"/>
  <c r="G22" i="46"/>
  <c r="G21" i="46"/>
  <c r="G20" i="46"/>
  <c r="K19" i="46"/>
  <c r="C18" i="46"/>
  <c r="C19" i="46" s="1"/>
  <c r="C24" i="46" l="1"/>
  <c r="L19" i="46"/>
  <c r="G86" i="46"/>
  <c r="G88" i="46"/>
  <c r="G92" i="46"/>
  <c r="L24" i="46" l="1"/>
  <c r="M24" i="46" s="1"/>
  <c r="C29" i="46"/>
  <c r="M19" i="46"/>
  <c r="L29" i="46" l="1"/>
  <c r="M29" i="46" s="1"/>
  <c r="C34" i="46"/>
  <c r="C82" i="46" l="1"/>
  <c r="C39" i="46"/>
  <c r="L34" i="46"/>
  <c r="M34" i="46" s="1"/>
  <c r="C44" i="46" l="1"/>
  <c r="C87" i="46"/>
  <c r="L82" i="46" s="1"/>
  <c r="M82" i="46" s="1"/>
  <c r="L44" i="46" l="1"/>
  <c r="M44" i="46" s="1"/>
  <c r="C49" i="46"/>
  <c r="L49" i="46" l="1"/>
  <c r="M49" i="46" s="1"/>
  <c r="C54" i="46"/>
  <c r="C59" i="46" l="1"/>
  <c r="L54" i="46"/>
  <c r="M54" i="46" s="1"/>
  <c r="C64" i="46" l="1"/>
  <c r="L59" i="46"/>
  <c r="M59" i="46" s="1"/>
  <c r="L64" i="46" l="1"/>
  <c r="M64" i="46" s="1"/>
  <c r="C69" i="46"/>
  <c r="L69" i="46" s="1"/>
  <c r="M69" i="46" l="1"/>
  <c r="L93" i="46"/>
  <c r="N69" i="46" l="1"/>
  <c r="M93" i="46"/>
  <c r="K93" i="46" l="1"/>
  <c r="N19" i="46"/>
  <c r="N24" i="46"/>
  <c r="N29" i="46"/>
  <c r="N34" i="46"/>
  <c r="N82" i="46"/>
  <c r="N44" i="46"/>
  <c r="N49" i="46"/>
  <c r="N54" i="46"/>
  <c r="N59" i="46"/>
  <c r="N64" i="46"/>
  <c r="N93" i="46" l="1"/>
  <c r="O102" i="45" l="1"/>
  <c r="O101" i="45"/>
  <c r="G95" i="45"/>
  <c r="D92" i="45"/>
  <c r="G89" i="45"/>
  <c r="K87" i="45"/>
  <c r="E87" i="45"/>
  <c r="G94" i="45" s="1"/>
  <c r="D87" i="45"/>
  <c r="B87" i="45"/>
  <c r="G78" i="45"/>
  <c r="G77" i="45"/>
  <c r="G76" i="45"/>
  <c r="G75" i="45"/>
  <c r="K74" i="45"/>
  <c r="G73" i="45"/>
  <c r="G72" i="45"/>
  <c r="G71" i="45"/>
  <c r="G70" i="45"/>
  <c r="K69" i="45"/>
  <c r="G68" i="45"/>
  <c r="G67" i="45"/>
  <c r="G66" i="45"/>
  <c r="G65" i="45"/>
  <c r="K64" i="45"/>
  <c r="G63" i="45"/>
  <c r="G62" i="45"/>
  <c r="G61" i="45"/>
  <c r="G60" i="45"/>
  <c r="K59" i="45"/>
  <c r="G58" i="45"/>
  <c r="G57" i="45"/>
  <c r="G56" i="45"/>
  <c r="G55" i="45"/>
  <c r="K54" i="45"/>
  <c r="G53" i="45"/>
  <c r="G52" i="45"/>
  <c r="G51" i="45"/>
  <c r="G50" i="45"/>
  <c r="K49" i="45"/>
  <c r="G48" i="45"/>
  <c r="G47" i="45"/>
  <c r="G46" i="45"/>
  <c r="G45" i="45"/>
  <c r="K44" i="45"/>
  <c r="G43" i="45"/>
  <c r="G42" i="45"/>
  <c r="G41" i="45"/>
  <c r="G40" i="45"/>
  <c r="K39" i="45"/>
  <c r="G38" i="45"/>
  <c r="G37" i="45"/>
  <c r="G36" i="45"/>
  <c r="G35" i="45"/>
  <c r="G33" i="45"/>
  <c r="G32" i="45"/>
  <c r="G31" i="45"/>
  <c r="G30" i="45"/>
  <c r="K29" i="45"/>
  <c r="G28" i="45"/>
  <c r="G27" i="45"/>
  <c r="G26" i="45"/>
  <c r="G25" i="45"/>
  <c r="K24" i="45"/>
  <c r="G23" i="45"/>
  <c r="G22" i="45"/>
  <c r="G21" i="45"/>
  <c r="G20" i="45"/>
  <c r="K19" i="45"/>
  <c r="C18" i="45"/>
  <c r="C19" i="45" s="1"/>
  <c r="C24" i="45" l="1"/>
  <c r="L19" i="45"/>
  <c r="G90" i="45"/>
  <c r="G92" i="45"/>
  <c r="G96" i="45"/>
  <c r="G91" i="45"/>
  <c r="G93" i="45"/>
  <c r="G97" i="45"/>
  <c r="G88" i="45"/>
  <c r="M19" i="45" l="1"/>
  <c r="L24" i="45"/>
  <c r="M24" i="45" s="1"/>
  <c r="C29" i="45"/>
  <c r="L29" i="45" l="1"/>
  <c r="C87" i="45"/>
  <c r="C34" i="45"/>
  <c r="C92" i="45" l="1"/>
  <c r="L87" i="45" s="1"/>
  <c r="M87" i="45" s="1"/>
  <c r="C39" i="45"/>
  <c r="M29" i="45"/>
  <c r="C44" i="45" l="1"/>
  <c r="L39" i="45"/>
  <c r="L44" i="45" l="1"/>
  <c r="M44" i="45" s="1"/>
  <c r="C49" i="45"/>
  <c r="M39" i="45"/>
  <c r="L49" i="45" l="1"/>
  <c r="C54" i="45"/>
  <c r="M49" i="45" l="1"/>
  <c r="C59" i="45"/>
  <c r="L54" i="45"/>
  <c r="M54" i="45" s="1"/>
  <c r="C64" i="45" l="1"/>
  <c r="L59" i="45"/>
  <c r="M59" i="45" s="1"/>
  <c r="L64" i="45" l="1"/>
  <c r="M64" i="45" s="1"/>
  <c r="C69" i="45"/>
  <c r="L69" i="45" l="1"/>
  <c r="M69" i="45" s="1"/>
  <c r="C74" i="45"/>
  <c r="L74" i="45" s="1"/>
  <c r="M74" i="45" l="1"/>
  <c r="L98" i="45"/>
  <c r="M98" i="45" l="1"/>
  <c r="K98" i="45" l="1"/>
  <c r="N24" i="45"/>
  <c r="N19" i="45"/>
  <c r="N29" i="45"/>
  <c r="N87" i="45"/>
  <c r="N39" i="45"/>
  <c r="N44" i="45"/>
  <c r="N49" i="45"/>
  <c r="N54" i="45"/>
  <c r="N59" i="45"/>
  <c r="N64" i="45"/>
  <c r="N69" i="45"/>
  <c r="N74" i="45"/>
  <c r="N98" i="45" l="1"/>
</calcChain>
</file>

<file path=xl/sharedStrings.xml><?xml version="1.0" encoding="utf-8"?>
<sst xmlns="http://schemas.openxmlformats.org/spreadsheetml/2006/main" count="682" uniqueCount="148">
  <si>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</si>
  <si>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</si>
  <si>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</si>
  <si>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</si>
  <si>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</si>
  <si>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</si>
  <si>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</si>
  <si>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</si>
  <si>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</si>
  <si>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</si>
  <si>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</si>
  <si>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</si>
  <si>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</si>
  <si>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</si>
  <si>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</si>
  <si>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</si>
  <si>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</si>
  <si>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</si>
  <si>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</si>
  <si>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</si>
  <si>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</si>
  <si>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</si>
  <si>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</si>
  <si>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</si>
  <si>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</si>
  <si>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</si>
  <si>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</si>
  <si>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</si>
  <si>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</si>
  <si>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</si>
  <si>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</si>
  <si>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</si>
  <si>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</si>
  <si>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</si>
  <si>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</si>
  <si>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</si>
  <si>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</si>
  <si>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</si>
  <si>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</si>
  <si>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</si>
  <si>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</si>
  <si>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</si>
  <si>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</si>
  <si>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</si>
  <si>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</si>
  <si>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</si>
  <si>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</si>
  <si>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</si>
  <si>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</si>
  <si>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</si>
  <si>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</si>
  <si>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</si>
  <si>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</si>
  <si>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</si>
  <si>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Toma de temperatura</t>
  </si>
  <si>
    <t>x</t>
  </si>
  <si>
    <t>QUEBRADA MANZANARES -  INDUSTRIAS BÁSICAS DE CALDAS</t>
  </si>
  <si>
    <t xml:space="preserve">  N 5° 03' 30.99"</t>
  </si>
  <si>
    <t xml:space="preserve"> W 75° 36' 27.04"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</si>
  <si>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</si>
  <si>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</si>
  <si>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</si>
  <si>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</si>
  <si>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</si>
  <si>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rgb="FF000000"/>
        <rFont val="Calibri"/>
        <family val="2"/>
      </rPr>
      <t xml:space="preserve">(tc) </t>
    </r>
    <r>
      <rPr>
        <sz val="10"/>
        <color rgb="FF000000"/>
        <rFont val="Calibri"/>
        <family val="2"/>
      </rPr>
      <t>[s]</t>
    </r>
  </si>
  <si>
    <t>Hélice #</t>
  </si>
  <si>
    <t>Electromagnético</t>
  </si>
  <si>
    <t>Referencia de medida:</t>
  </si>
  <si>
    <t>Lecho del río</t>
  </si>
  <si>
    <t>Clima</t>
  </si>
  <si>
    <t>Calido</t>
  </si>
  <si>
    <t>Superficie del agua</t>
  </si>
  <si>
    <t>Abscisa: Inicio Dovela # 1 (m)</t>
  </si>
  <si>
    <r>
      <rPr>
        <b/>
        <i/>
        <sz val="10"/>
        <rFont val="Calibri"/>
        <family val="2"/>
      </rPr>
      <t>Vi</t>
    </r>
    <r>
      <rPr>
        <sz val="10"/>
        <rFont val="Calibri"/>
        <family val="2"/>
      </rPr>
      <t>= Velocidad a cada yi</t>
    </r>
  </si>
  <si>
    <r>
      <rPr>
        <b/>
        <i/>
        <sz val="10"/>
        <rFont val="Calibri"/>
        <family val="2"/>
      </rPr>
      <t>hi</t>
    </r>
    <r>
      <rPr>
        <sz val="10"/>
        <rFont val="Calibri"/>
        <family val="2"/>
      </rPr>
      <t>= Profundidad correspondiente a cada abscisa</t>
    </r>
  </si>
  <si>
    <r>
      <rPr>
        <b/>
        <i/>
        <sz val="10"/>
        <rFont val="Calibri"/>
        <family val="2"/>
      </rPr>
      <t>y</t>
    </r>
    <r>
      <rPr>
        <b/>
        <sz val="10"/>
        <rFont val="Calibri"/>
        <family val="2"/>
      </rPr>
      <t>=</t>
    </r>
    <r>
      <rPr>
        <sz val="10"/>
        <rFont val="Calibri"/>
        <family val="2"/>
      </rPr>
      <t xml:space="preserve"> Profundidad en la mitad dovela</t>
    </r>
  </si>
  <si>
    <r>
      <rPr>
        <b/>
        <i/>
        <sz val="10"/>
        <rFont val="Calibri"/>
        <family val="2"/>
      </rPr>
      <t>Rev</t>
    </r>
    <r>
      <rPr>
        <sz val="10"/>
        <rFont val="Calibri"/>
        <family val="2"/>
      </rPr>
      <t xml:space="preserve">= # vueltas en </t>
    </r>
    <r>
      <rPr>
        <b/>
        <sz val="10"/>
        <rFont val="Calibri"/>
        <family val="2"/>
      </rPr>
      <t>tc</t>
    </r>
  </si>
  <si>
    <r>
      <rPr>
        <b/>
        <i/>
        <sz val="10"/>
        <rFont val="Calibri"/>
        <family val="2"/>
      </rPr>
      <t>Qi</t>
    </r>
    <r>
      <rPr>
        <sz val="10"/>
        <rFont val="Calibri"/>
        <family val="2"/>
      </rPr>
      <t>= Caudal por dovela</t>
    </r>
  </si>
  <si>
    <r>
      <rPr>
        <b/>
        <i/>
        <sz val="10"/>
        <rFont val="Calibri"/>
        <family val="2"/>
      </rPr>
      <t>T</t>
    </r>
    <r>
      <rPr>
        <b/>
        <i/>
        <sz val="10"/>
        <rFont val="Calibri"/>
        <family val="2"/>
      </rPr>
      <t>ll</t>
    </r>
    <r>
      <rPr>
        <sz val="10"/>
        <rFont val="Calibri"/>
        <family val="2"/>
      </rPr>
      <t>= Tiempo de llenado-solidos suspendidos</t>
    </r>
  </si>
  <si>
    <r>
      <rPr>
        <b/>
        <i/>
        <sz val="10"/>
        <rFont val="Calibri"/>
        <family val="2"/>
      </rPr>
      <t>Rpm</t>
    </r>
    <r>
      <rPr>
        <sz val="10"/>
        <rFont val="Calibri"/>
        <family val="2"/>
      </rPr>
      <t>= Revoluciones por minuto</t>
    </r>
  </si>
  <si>
    <r>
      <rPr>
        <b/>
        <i/>
        <sz val="10"/>
        <rFont val="Calibri"/>
        <family val="2"/>
      </rPr>
      <t>Ai</t>
    </r>
    <r>
      <rPr>
        <sz val="10"/>
        <rFont val="Calibri"/>
        <family val="2"/>
      </rPr>
      <t>= Área por dovela</t>
    </r>
  </si>
  <si>
    <r>
      <rPr>
        <b/>
        <i/>
        <sz val="10"/>
        <rFont val="Calibri"/>
        <family val="2"/>
      </rPr>
      <t>Bq</t>
    </r>
    <r>
      <rPr>
        <sz val="10"/>
        <rFont val="Calibri"/>
        <family val="2"/>
      </rPr>
      <t xml:space="preserve"> = Boquilla muestreador solidos suspendidos</t>
    </r>
  </si>
  <si>
    <t xml:space="preserve">        = Velocidad promedio por dovela</t>
  </si>
  <si>
    <r>
      <t>h</t>
    </r>
    <r>
      <rPr>
        <b/>
        <sz val="11"/>
        <color rgb="FF000000"/>
        <rFont val="Calibri"/>
        <family val="2"/>
      </rPr>
      <t xml:space="preserve">i      </t>
    </r>
    <r>
      <rPr>
        <b/>
        <sz val="11"/>
        <color rgb="FF000000"/>
        <rFont val="Calibri"/>
        <family val="2"/>
      </rPr>
      <t xml:space="preserve">  [m]</t>
    </r>
  </si>
  <si>
    <r>
      <t>y</t>
    </r>
    <r>
      <rPr>
        <b/>
        <sz val="11"/>
        <color rgb="FF000000"/>
        <rFont val="Calibri"/>
        <family val="2"/>
      </rPr>
      <t xml:space="preserve">i   </t>
    </r>
    <r>
      <rPr>
        <b/>
        <sz val="11"/>
        <color rgb="FF000000"/>
        <rFont val="Calibri"/>
        <family val="2"/>
      </rPr>
      <t>[m]</t>
    </r>
  </si>
  <si>
    <t>Rev (**)</t>
  </si>
  <si>
    <t>[Rpm] (**)</t>
  </si>
  <si>
    <r>
      <t>V</t>
    </r>
    <r>
      <rPr>
        <b/>
        <sz val="11"/>
        <color rgb="FF000000"/>
        <rFont val="Calibri"/>
        <family val="2"/>
      </rPr>
      <t>i</t>
    </r>
  </si>
  <si>
    <r>
      <t>A</t>
    </r>
    <r>
      <rPr>
        <b/>
        <sz val="11"/>
        <color rgb="FF000000"/>
        <rFont val="Calibri"/>
        <family val="2"/>
      </rPr>
      <t>i</t>
    </r>
  </si>
  <si>
    <r>
      <t>Q</t>
    </r>
    <r>
      <rPr>
        <b/>
        <sz val="11"/>
        <color rgb="FF000000"/>
        <rFont val="Calibri"/>
        <family val="2"/>
      </rPr>
      <t>i</t>
    </r>
  </si>
  <si>
    <r>
      <t>T</t>
    </r>
    <r>
      <rPr>
        <b/>
        <sz val="11"/>
        <color rgb="FF000000"/>
        <rFont val="Calibri"/>
        <family val="2"/>
      </rPr>
      <t>ll</t>
    </r>
  </si>
  <si>
    <r>
      <t>[m</t>
    </r>
    <r>
      <rPr>
        <b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]</t>
    </r>
  </si>
  <si>
    <r>
      <t>[m</t>
    </r>
    <r>
      <rPr>
        <b/>
        <sz val="11"/>
        <color rgb="FF000000"/>
        <rFont val="Calibri"/>
        <family val="2"/>
      </rPr>
      <t>3</t>
    </r>
    <r>
      <rPr>
        <b/>
        <sz val="11"/>
        <color rgb="FF000000"/>
        <rFont val="Calibri"/>
        <family val="2"/>
      </rPr>
      <t>/s]</t>
    </r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</si>
  <si>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</si>
  <si>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</si>
  <si>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</si>
  <si>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</si>
  <si>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</si>
  <si>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</si>
  <si>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</rPr>
      <t>Tll</t>
    </r>
    <r>
      <rPr>
        <sz val="10"/>
        <rFont val="Calibri"/>
        <family val="2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</si>
  <si>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</si>
  <si>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</si>
  <si>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</si>
  <si>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</si>
  <si>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</si>
  <si>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</si>
  <si>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</si>
  <si>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</si>
  <si>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</si>
  <si>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</si>
  <si>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</si>
  <si>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</si>
  <si>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</si>
  <si>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</si>
  <si>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r>
      <t xml:space="preserve">At = </t>
    </r>
    <r>
      <rPr>
        <sz val="10"/>
        <color rgb="FF000000"/>
        <rFont val="Calibri"/>
        <family val="2"/>
      </rPr>
      <t>ΣAi</t>
    </r>
  </si>
  <si>
    <r>
      <t xml:space="preserve">Qt = </t>
    </r>
    <r>
      <rPr>
        <sz val="10"/>
        <color rgb="FF000000"/>
        <rFont val="Calibri"/>
        <family val="2"/>
      </rPr>
      <t>ΣQi</t>
    </r>
  </si>
  <si>
    <t>Referencia desde lecho del Río</t>
  </si>
  <si>
    <t>Referencia desde la superficie del agua</t>
  </si>
  <si>
    <t>h Media (m)</t>
  </si>
  <si>
    <t>h Máxima (m)</t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</si>
  <si>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</t>
  </si>
  <si>
    <r>
      <t xml:space="preserve">Nivel del agua en el sensor (m) </t>
    </r>
    <r>
      <rPr>
        <sz val="9"/>
        <color rgb="FF000000"/>
        <rFont val="Calibri"/>
        <family val="2"/>
      </rPr>
      <t>(Dato suministrado por el administrador de la red)</t>
    </r>
  </si>
  <si>
    <t>Proceso de aforo</t>
  </si>
  <si>
    <t>MATEO ALZATE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</si>
  <si>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</si>
  <si>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</si>
  <si>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</si>
  <si>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</si>
  <si>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</si>
  <si>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</si>
  <si>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</si>
  <si>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</si>
  <si>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</si>
  <si>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</si>
  <si>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</si>
  <si>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Detalle del aforo - Organizando sección de aforo</t>
  </si>
  <si>
    <t>CARLOS COCUY</t>
  </si>
  <si>
    <t>QUEBRADA MANZANAREZ - IBC</t>
  </si>
  <si>
    <t xml:space="preserve">Medida nivel </t>
  </si>
  <si>
    <t>Detalle general de aforo</t>
  </si>
  <si>
    <t xml:space="preserve">QUEBRADA MANZANARES-INDUSTRIAS BASICAS DE CALDAS </t>
  </si>
  <si>
    <t>N 5° 03´ 30.99´´</t>
  </si>
  <si>
    <t>W 75° 36´ 27.04´´</t>
  </si>
  <si>
    <t>CÁLIDO</t>
  </si>
  <si>
    <t xml:space="preserve">TOME DE TEMPERATURA </t>
  </si>
  <si>
    <t xml:space="preserve"> SECCION DE AFORO</t>
  </si>
  <si>
    <t>Formato L1.2: Medición de caudal por el método área-velocidad: medidas desde la superficie del agua con medidor electromagnético</t>
  </si>
  <si>
    <t>Convenio 221/2016 OPERACIÓN Y MANTENIMIENTO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</si>
</sst>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sz val="9"/>
      <color rgb="FF000000"/>
      <name val="Calibri"/>
      <family val="2"/>
    </font>
    <font>
      <b/>
      <i/>
      <sz val="10"/>
      <name val="Calibri"/>
      <family val="2"/>
      <scheme val="minor"/>
    </font>
    <font>
      <b/>
      <i/>
      <vertAlign val="subscript"/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600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2" fillId="0" borderId="0" xfId="1" applyFont="1" applyAlignment="1"/>
    <xf numFmtId="0" fontId="2" fillId="0" borderId="0" xfId="1" applyFont="1" applyAlignment="1">
      <alignment horizontal="center"/>
    </xf>
    <xf numFmtId="0" fontId="2" fillId="0" borderId="43" xfId="1" applyFont="1" applyBorder="1"/>
    <xf numFmtId="0" fontId="2" fillId="0" borderId="0" xfId="1" applyFont="1"/>
    <xf numFmtId="0" fontId="2" fillId="0" borderId="50" xfId="1" applyFont="1" applyBorder="1" applyAlignment="1">
      <alignment horizontal="center" vertical="center"/>
    </xf>
    <xf numFmtId="0" fontId="2" fillId="0" borderId="50" xfId="1" applyFont="1" applyBorder="1" applyAlignment="1">
      <alignment vertical="center"/>
    </xf>
    <xf numFmtId="0" fontId="15" fillId="5" borderId="53" xfId="1" applyFont="1" applyFill="1" applyBorder="1" applyAlignment="1">
      <alignment horizontal="center" vertical="center"/>
    </xf>
    <xf numFmtId="0" fontId="2" fillId="0" borderId="52" xfId="1" applyFont="1" applyBorder="1" applyAlignment="1">
      <alignment vertical="center"/>
    </xf>
    <xf numFmtId="0" fontId="2" fillId="0" borderId="43" xfId="1" applyFont="1" applyFill="1" applyBorder="1" applyAlignment="1">
      <alignment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50" xfId="1" applyFont="1" applyFill="1" applyBorder="1" applyAlignment="1">
      <alignment vertical="center"/>
    </xf>
    <xf numFmtId="0" fontId="15" fillId="0" borderId="53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9" fillId="0" borderId="60" xfId="1" applyFont="1" applyFill="1" applyBorder="1" applyAlignment="1">
      <alignment horizontal="center" vertical="center"/>
    </xf>
    <xf numFmtId="0" fontId="2" fillId="0" borderId="66" xfId="1" applyFont="1" applyFill="1" applyBorder="1" applyAlignment="1">
      <alignment horizontal="center" vertical="center"/>
    </xf>
    <xf numFmtId="0" fontId="15" fillId="0" borderId="69" xfId="1" applyFont="1" applyFill="1" applyBorder="1" applyAlignment="1">
      <alignment horizontal="center" vertical="center"/>
    </xf>
    <xf numFmtId="0" fontId="19" fillId="0" borderId="76" xfId="1" applyFont="1" applyFill="1" applyBorder="1" applyAlignment="1">
      <alignment vertical="top" wrapText="1"/>
    </xf>
    <xf numFmtId="0" fontId="19" fillId="0" borderId="60" xfId="1" applyFont="1" applyFill="1" applyBorder="1" applyAlignment="1">
      <alignment horizontal="center" vertical="top" wrapText="1"/>
    </xf>
    <xf numFmtId="0" fontId="19" fillId="0" borderId="79" xfId="1" applyFont="1" applyFill="1" applyBorder="1" applyAlignment="1">
      <alignment horizontal="center"/>
    </xf>
    <xf numFmtId="0" fontId="15" fillId="0" borderId="69" xfId="1" applyFont="1" applyFill="1" applyBorder="1" applyAlignment="1">
      <alignment horizontal="center" vertical="top" wrapText="1"/>
    </xf>
    <xf numFmtId="0" fontId="15" fillId="0" borderId="86" xfId="1" applyFont="1" applyFill="1" applyBorder="1" applyAlignment="1">
      <alignment horizontal="center" vertical="center" wrapText="1"/>
    </xf>
    <xf numFmtId="20" fontId="15" fillId="0" borderId="89" xfId="1" applyNumberFormat="1" applyFont="1" applyFill="1" applyBorder="1" applyAlignment="1">
      <alignment horizontal="center" vertical="top"/>
    </xf>
    <xf numFmtId="0" fontId="15" fillId="0" borderId="90" xfId="1" applyFont="1" applyFill="1" applyBorder="1" applyAlignment="1">
      <alignment horizontal="center" vertical="top"/>
    </xf>
    <xf numFmtId="0" fontId="15" fillId="0" borderId="79" xfId="1" applyFont="1" applyFill="1" applyBorder="1" applyAlignment="1">
      <alignment horizontal="center" vertical="center"/>
    </xf>
    <xf numFmtId="0" fontId="15" fillId="0" borderId="93" xfId="1" applyFont="1" applyFill="1" applyBorder="1" applyAlignment="1">
      <alignment horizontal="center" vertical="center"/>
    </xf>
    <xf numFmtId="0" fontId="25" fillId="7" borderId="0" xfId="1" applyFont="1" applyFill="1" applyBorder="1" applyAlignment="1">
      <alignment horizontal="left" vertical="center" wrapText="1"/>
    </xf>
    <xf numFmtId="0" fontId="18" fillId="6" borderId="82" xfId="1" applyFont="1" applyFill="1" applyBorder="1" applyAlignment="1">
      <alignment horizontal="center" vertical="center"/>
    </xf>
    <xf numFmtId="0" fontId="18" fillId="6" borderId="99" xfId="1" applyFont="1" applyFill="1" applyBorder="1" applyAlignment="1">
      <alignment vertical="center"/>
    </xf>
    <xf numFmtId="0" fontId="18" fillId="6" borderId="99" xfId="1" applyFont="1" applyFill="1" applyBorder="1" applyAlignment="1">
      <alignment horizontal="center" vertical="center"/>
    </xf>
    <xf numFmtId="0" fontId="18" fillId="6" borderId="60" xfId="1" applyFont="1" applyFill="1" applyBorder="1" applyAlignment="1">
      <alignment horizontal="center" vertical="center"/>
    </xf>
    <xf numFmtId="0" fontId="2" fillId="0" borderId="93" xfId="1" applyFont="1" applyBorder="1"/>
    <xf numFmtId="0" fontId="18" fillId="6" borderId="93" xfId="1" applyFont="1" applyFill="1" applyBorder="1" applyAlignment="1">
      <alignment vertical="center"/>
    </xf>
    <xf numFmtId="0" fontId="18" fillId="6" borderId="102" xfId="1" applyFont="1" applyFill="1" applyBorder="1" applyAlignment="1">
      <alignment horizontal="center" vertical="center"/>
    </xf>
    <xf numFmtId="0" fontId="18" fillId="6" borderId="89" xfId="1" applyFont="1" applyFill="1" applyBorder="1" applyAlignment="1">
      <alignment horizontal="center" vertical="center"/>
    </xf>
    <xf numFmtId="0" fontId="21" fillId="0" borderId="0" xfId="1" applyFont="1" applyFill="1"/>
    <xf numFmtId="0" fontId="18" fillId="0" borderId="81" xfId="1" applyFont="1" applyFill="1" applyBorder="1" applyAlignment="1">
      <alignment horizontal="center" vertical="center" wrapText="1"/>
    </xf>
    <xf numFmtId="0" fontId="2" fillId="0" borderId="97" xfId="1" applyFont="1" applyFill="1" applyBorder="1" applyAlignment="1">
      <alignment horizontal="center" vertical="center" wrapText="1"/>
    </xf>
    <xf numFmtId="0" fontId="18" fillId="0" borderId="97" xfId="1" applyFont="1" applyFill="1" applyBorder="1" applyAlignment="1">
      <alignment horizontal="center" vertical="center"/>
    </xf>
    <xf numFmtId="0" fontId="12" fillId="0" borderId="97" xfId="1" applyFont="1" applyFill="1" applyBorder="1" applyAlignment="1">
      <alignment horizontal="center"/>
    </xf>
    <xf numFmtId="2" fontId="14" fillId="0" borderId="97" xfId="1" applyNumberFormat="1" applyFont="1" applyFill="1" applyBorder="1" applyAlignment="1">
      <alignment horizontal="center" vertical="center"/>
    </xf>
    <xf numFmtId="2" fontId="14" fillId="0" borderId="97" xfId="1" applyNumberFormat="1" applyFont="1" applyFill="1" applyBorder="1" applyAlignment="1">
      <alignment vertical="center"/>
    </xf>
    <xf numFmtId="164" fontId="14" fillId="0" borderId="97" xfId="1" applyNumberFormat="1" applyFont="1" applyFill="1" applyBorder="1" applyAlignment="1">
      <alignment vertical="center"/>
    </xf>
    <xf numFmtId="164" fontId="14" fillId="0" borderId="97" xfId="1" applyNumberFormat="1" applyFont="1" applyFill="1" applyBorder="1" applyAlignment="1">
      <alignment horizontal="center" vertical="center"/>
    </xf>
    <xf numFmtId="0" fontId="18" fillId="0" borderId="103" xfId="1" applyFont="1" applyFill="1" applyBorder="1" applyAlignment="1">
      <alignment horizontal="center" vertical="center"/>
    </xf>
    <xf numFmtId="0" fontId="2" fillId="0" borderId="0" xfId="1" applyFont="1" applyFill="1" applyAlignment="1"/>
    <xf numFmtId="0" fontId="12" fillId="0" borderId="99" xfId="1" applyFont="1" applyFill="1" applyBorder="1" applyAlignment="1">
      <alignment horizontal="center"/>
    </xf>
    <xf numFmtId="2" fontId="14" fillId="0" borderId="99" xfId="1" applyNumberFormat="1" applyFont="1" applyFill="1" applyBorder="1" applyAlignment="1">
      <alignment horizontal="center" vertical="center"/>
    </xf>
    <xf numFmtId="2" fontId="14" fillId="0" borderId="99" xfId="1" applyNumberFormat="1" applyFont="1" applyFill="1" applyBorder="1" applyAlignment="1">
      <alignment vertical="center"/>
    </xf>
    <xf numFmtId="0" fontId="2" fillId="0" borderId="99" xfId="1" applyFont="1" applyFill="1" applyBorder="1"/>
    <xf numFmtId="164" fontId="14" fillId="0" borderId="99" xfId="1" applyNumberFormat="1" applyFont="1" applyFill="1" applyBorder="1" applyAlignment="1">
      <alignment horizontal="center" vertical="center"/>
    </xf>
    <xf numFmtId="0" fontId="12" fillId="0" borderId="104" xfId="1" applyFont="1" applyFill="1" applyBorder="1" applyAlignment="1">
      <alignment horizontal="center"/>
    </xf>
    <xf numFmtId="2" fontId="14" fillId="0" borderId="104" xfId="1" applyNumberFormat="1" applyFont="1" applyFill="1" applyBorder="1" applyAlignment="1">
      <alignment horizontal="center" vertical="center"/>
    </xf>
    <xf numFmtId="2" fontId="14" fillId="0" borderId="104" xfId="1" applyNumberFormat="1" applyFont="1" applyFill="1" applyBorder="1" applyAlignment="1">
      <alignment vertical="center"/>
    </xf>
    <xf numFmtId="0" fontId="2" fillId="0" borderId="104" xfId="1" applyFont="1" applyFill="1" applyBorder="1"/>
    <xf numFmtId="164" fontId="14" fillId="0" borderId="104" xfId="1" applyNumberFormat="1" applyFont="1" applyFill="1" applyBorder="1" applyAlignment="1">
      <alignment horizontal="center" vertical="center"/>
    </xf>
    <xf numFmtId="0" fontId="12" fillId="0" borderId="107" xfId="1" applyFont="1" applyFill="1" applyBorder="1" applyAlignment="1">
      <alignment horizontal="center"/>
    </xf>
    <xf numFmtId="2" fontId="14" fillId="0" borderId="107" xfId="1" applyNumberFormat="1" applyFont="1" applyFill="1" applyBorder="1" applyAlignment="1">
      <alignment horizontal="center" vertical="center"/>
    </xf>
    <xf numFmtId="2" fontId="14" fillId="0" borderId="107" xfId="1" applyNumberFormat="1" applyFont="1" applyFill="1" applyBorder="1" applyAlignment="1">
      <alignment vertical="center"/>
    </xf>
    <xf numFmtId="0" fontId="2" fillId="0" borderId="107" xfId="1" applyFont="1" applyFill="1" applyBorder="1"/>
    <xf numFmtId="164" fontId="14" fillId="0" borderId="107" xfId="1" applyNumberFormat="1" applyFont="1" applyFill="1" applyBorder="1" applyAlignment="1">
      <alignment horizontal="center" vertical="center"/>
    </xf>
    <xf numFmtId="0" fontId="3" fillId="0" borderId="0" xfId="1" applyFont="1"/>
    <xf numFmtId="0" fontId="3" fillId="0" borderId="9" xfId="1" applyFont="1" applyBorder="1"/>
    <xf numFmtId="0" fontId="4" fillId="8" borderId="27" xfId="1" applyFont="1" applyFill="1" applyBorder="1" applyAlignment="1">
      <alignment vertical="center" wrapText="1"/>
    </xf>
    <xf numFmtId="0" fontId="4" fillId="8" borderId="110" xfId="1" applyFont="1" applyFill="1" applyBorder="1" applyAlignment="1">
      <alignment vertical="center" wrapText="1"/>
    </xf>
    <xf numFmtId="0" fontId="21" fillId="0" borderId="43" xfId="1" applyFont="1" applyBorder="1"/>
    <xf numFmtId="2" fontId="14" fillId="10" borderId="114" xfId="1" applyNumberFormat="1" applyFont="1" applyFill="1" applyBorder="1" applyAlignment="1">
      <alignment horizontal="center" vertical="center"/>
    </xf>
    <xf numFmtId="2" fontId="14" fillId="10" borderId="114" xfId="1" applyNumberFormat="1" applyFont="1" applyFill="1" applyBorder="1" applyAlignment="1">
      <alignment horizontal="center"/>
    </xf>
    <xf numFmtId="164" fontId="2" fillId="10" borderId="114" xfId="1" applyNumberFormat="1" applyFont="1" applyFill="1" applyBorder="1" applyAlignment="1">
      <alignment horizontal="center"/>
    </xf>
    <xf numFmtId="164" fontId="2" fillId="9" borderId="114" xfId="1" applyNumberFormat="1" applyFont="1" applyFill="1" applyBorder="1" applyAlignment="1">
      <alignment horizontal="center"/>
    </xf>
    <xf numFmtId="0" fontId="21" fillId="0" borderId="0" xfId="1" applyFont="1"/>
    <xf numFmtId="0" fontId="14" fillId="10" borderId="104" xfId="1" applyFont="1" applyFill="1" applyBorder="1" applyAlignment="1">
      <alignment horizontal="center"/>
    </xf>
    <xf numFmtId="2" fontId="14" fillId="10" borderId="104" xfId="1" applyNumberFormat="1" applyFont="1" applyFill="1" applyBorder="1" applyAlignment="1">
      <alignment horizontal="center" vertical="center"/>
    </xf>
    <xf numFmtId="2" fontId="14" fillId="10" borderId="104" xfId="1" applyNumberFormat="1" applyFont="1" applyFill="1" applyBorder="1" applyAlignment="1">
      <alignment horizontal="center"/>
    </xf>
    <xf numFmtId="164" fontId="2" fillId="10" borderId="104" xfId="1" applyNumberFormat="1" applyFont="1" applyFill="1" applyBorder="1" applyAlignment="1">
      <alignment horizontal="center"/>
    </xf>
    <xf numFmtId="164" fontId="2" fillId="9" borderId="104" xfId="1" applyNumberFormat="1" applyFont="1" applyFill="1" applyBorder="1" applyAlignment="1">
      <alignment horizontal="center"/>
    </xf>
    <xf numFmtId="2" fontId="14" fillId="10" borderId="121" xfId="1" applyNumberFormat="1" applyFont="1" applyFill="1" applyBorder="1" applyAlignment="1">
      <alignment horizontal="center" vertical="center"/>
    </xf>
    <xf numFmtId="2" fontId="14" fillId="10" borderId="121" xfId="1" applyNumberFormat="1" applyFont="1" applyFill="1" applyBorder="1" applyAlignment="1">
      <alignment horizontal="center"/>
    </xf>
    <xf numFmtId="164" fontId="2" fillId="10" borderId="121" xfId="1" applyNumberFormat="1" applyFont="1" applyFill="1" applyBorder="1" applyAlignment="1">
      <alignment horizontal="center"/>
    </xf>
    <xf numFmtId="164" fontId="2" fillId="11" borderId="121" xfId="1" applyNumberFormat="1" applyFont="1" applyFill="1" applyBorder="1" applyAlignment="1">
      <alignment horizontal="center"/>
    </xf>
    <xf numFmtId="0" fontId="3" fillId="0" borderId="32" xfId="1" applyFont="1" applyBorder="1"/>
    <xf numFmtId="164" fontId="5" fillId="0" borderId="36" xfId="1" applyNumberFormat="1" applyFont="1" applyBorder="1" applyAlignment="1">
      <alignment horizontal="center"/>
    </xf>
    <xf numFmtId="164" fontId="5" fillId="0" borderId="36" xfId="1" applyNumberFormat="1" applyFont="1" applyBorder="1" applyAlignment="1">
      <alignment horizontal="center" vertical="center"/>
    </xf>
    <xf numFmtId="166" fontId="5" fillId="0" borderId="36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 vertical="top"/>
    </xf>
    <xf numFmtId="0" fontId="2" fillId="0" borderId="32" xfId="1" applyBorder="1"/>
    <xf numFmtId="0" fontId="2" fillId="0" borderId="0" xfId="1"/>
    <xf numFmtId="0" fontId="2" fillId="0" borderId="32" xfId="1" applyBorder="1" applyAlignment="1">
      <alignment horizontal="center"/>
    </xf>
    <xf numFmtId="0" fontId="2" fillId="0" borderId="32" xfId="1" applyBorder="1" applyAlignment="1"/>
    <xf numFmtId="164" fontId="18" fillId="5" borderId="125" xfId="1" applyNumberFormat="1" applyFont="1" applyFill="1" applyBorder="1" applyAlignment="1">
      <alignment horizontal="center" vertical="center"/>
    </xf>
    <xf numFmtId="0" fontId="18" fillId="0" borderId="47" xfId="1" applyFont="1" applyBorder="1"/>
    <xf numFmtId="0" fontId="2" fillId="0" borderId="55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0" fillId="0" borderId="0" xfId="0" applyAlignment="1">
      <alignment horizontal="center"/>
    </xf>
    <xf numFmtId="0" fontId="0" fillId="0" borderId="43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5" fillId="5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3" xfId="0" applyFont="1" applyFill="1" applyBorder="1" applyAlignment="1">
      <alignment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60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15" fillId="0" borderId="69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vertical="top" wrapText="1"/>
    </xf>
    <xf numFmtId="0" fontId="19" fillId="0" borderId="60" xfId="0" applyFont="1" applyFill="1" applyBorder="1" applyAlignment="1">
      <alignment horizontal="center" vertical="top" wrapText="1"/>
    </xf>
    <xf numFmtId="0" fontId="19" fillId="0" borderId="79" xfId="0" applyFont="1" applyFill="1" applyBorder="1" applyAlignment="1">
      <alignment horizontal="center"/>
    </xf>
    <xf numFmtId="0" fontId="15" fillId="0" borderId="69" xfId="0" applyFont="1" applyFill="1" applyBorder="1" applyAlignment="1">
      <alignment horizontal="center" vertical="top" wrapText="1"/>
    </xf>
    <xf numFmtId="0" fontId="15" fillId="0" borderId="86" xfId="0" applyFont="1" applyFill="1" applyBorder="1" applyAlignment="1">
      <alignment horizontal="center" vertical="center" wrapText="1"/>
    </xf>
    <xf numFmtId="20" fontId="15" fillId="0" borderId="89" xfId="0" applyNumberFormat="1" applyFont="1" applyFill="1" applyBorder="1" applyAlignment="1">
      <alignment horizontal="center" vertical="top"/>
    </xf>
    <xf numFmtId="0" fontId="15" fillId="0" borderId="90" xfId="0" applyFont="1" applyFill="1" applyBorder="1" applyAlignment="1">
      <alignment horizontal="center" vertical="top"/>
    </xf>
    <xf numFmtId="0" fontId="15" fillId="0" borderId="79" xfId="0" applyFont="1" applyFill="1" applyBorder="1" applyAlignment="1">
      <alignment horizontal="center" vertical="center"/>
    </xf>
    <xf numFmtId="0" fontId="15" fillId="0" borderId="93" xfId="0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left" vertical="center" wrapText="1"/>
    </xf>
    <xf numFmtId="0" fontId="18" fillId="6" borderId="82" xfId="0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vertical="center"/>
    </xf>
    <xf numFmtId="0" fontId="18" fillId="6" borderId="99" xfId="0" applyFont="1" applyFill="1" applyBorder="1" applyAlignment="1">
      <alignment horizontal="center" vertical="center"/>
    </xf>
    <xf numFmtId="0" fontId="18" fillId="6" borderId="60" xfId="0" applyFont="1" applyFill="1" applyBorder="1" applyAlignment="1">
      <alignment horizontal="center" vertical="center"/>
    </xf>
    <xf numFmtId="0" fontId="2" fillId="0" borderId="93" xfId="0" applyFont="1" applyBorder="1"/>
    <xf numFmtId="0" fontId="18" fillId="6" borderId="93" xfId="0" applyFont="1" applyFill="1" applyBorder="1" applyAlignment="1">
      <alignment vertical="center"/>
    </xf>
    <xf numFmtId="0" fontId="18" fillId="6" borderId="102" xfId="0" applyFont="1" applyFill="1" applyBorder="1" applyAlignment="1">
      <alignment horizontal="center" vertical="center"/>
    </xf>
    <xf numFmtId="0" fontId="18" fillId="6" borderId="89" xfId="0" applyFont="1" applyFill="1" applyBorder="1" applyAlignment="1">
      <alignment horizontal="center" vertical="center"/>
    </xf>
    <xf numFmtId="0" fontId="21" fillId="0" borderId="0" xfId="0" applyFont="1" applyFill="1"/>
    <xf numFmtId="0" fontId="18" fillId="0" borderId="81" xfId="0" applyFont="1" applyFill="1" applyBorder="1" applyAlignment="1">
      <alignment horizontal="center" vertical="center" wrapText="1"/>
    </xf>
    <xf numFmtId="0" fontId="2" fillId="0" borderId="97" xfId="0" applyFont="1" applyFill="1" applyBorder="1" applyAlignment="1">
      <alignment horizontal="center" vertical="center" wrapText="1"/>
    </xf>
    <xf numFmtId="0" fontId="18" fillId="0" borderId="97" xfId="0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164" fontId="14" fillId="0" borderId="97" xfId="0" applyNumberFormat="1" applyFont="1" applyFill="1" applyBorder="1" applyAlignment="1">
      <alignment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8" fillId="0" borderId="103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4" xfId="0" applyFont="1" applyFill="1" applyBorder="1" applyAlignment="1">
      <alignment horizontal="center"/>
    </xf>
    <xf numFmtId="2" fontId="14" fillId="0" borderId="104" xfId="0" applyNumberFormat="1" applyFont="1" applyFill="1" applyBorder="1" applyAlignment="1">
      <alignment horizontal="center" vertical="center"/>
    </xf>
    <xf numFmtId="2" fontId="14" fillId="0" borderId="104" xfId="0" applyNumberFormat="1" applyFont="1" applyFill="1" applyBorder="1" applyAlignment="1">
      <alignment vertical="center"/>
    </xf>
    <xf numFmtId="0" fontId="2" fillId="0" borderId="104" xfId="0" applyFont="1" applyFill="1" applyBorder="1"/>
    <xf numFmtId="164" fontId="14" fillId="0" borderId="104" xfId="0" applyNumberFormat="1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/>
    </xf>
    <xf numFmtId="2" fontId="14" fillId="0" borderId="107" xfId="0" applyNumberFormat="1" applyFont="1" applyFill="1" applyBorder="1" applyAlignment="1">
      <alignment horizontal="center" vertical="center"/>
    </xf>
    <xf numFmtId="2" fontId="14" fillId="0" borderId="107" xfId="0" applyNumberFormat="1" applyFont="1" applyFill="1" applyBorder="1" applyAlignment="1">
      <alignment vertical="center"/>
    </xf>
    <xf numFmtId="0" fontId="2" fillId="0" borderId="107" xfId="0" applyFont="1" applyFill="1" applyBorder="1"/>
    <xf numFmtId="164" fontId="14" fillId="0" borderId="107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10" xfId="0" applyFont="1" applyFill="1" applyBorder="1" applyAlignment="1">
      <alignment vertical="center" wrapText="1"/>
    </xf>
    <xf numFmtId="0" fontId="21" fillId="0" borderId="43" xfId="0" applyFont="1" applyBorder="1"/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9" borderId="114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104" xfId="0" applyFont="1" applyFill="1" applyBorder="1" applyAlignment="1">
      <alignment horizontal="center"/>
    </xf>
    <xf numFmtId="2" fontId="14" fillId="10" borderId="104" xfId="0" applyNumberFormat="1" applyFont="1" applyFill="1" applyBorder="1" applyAlignment="1">
      <alignment horizontal="center" vertical="center"/>
    </xf>
    <xf numFmtId="2" fontId="14" fillId="10" borderId="104" xfId="0" applyNumberFormat="1" applyFont="1" applyFill="1" applyBorder="1" applyAlignment="1">
      <alignment horizontal="center"/>
    </xf>
    <xf numFmtId="164" fontId="2" fillId="10" borderId="104" xfId="0" applyNumberFormat="1" applyFont="1" applyFill="1" applyBorder="1" applyAlignment="1">
      <alignment horizontal="center"/>
    </xf>
    <xf numFmtId="164" fontId="2" fillId="9" borderId="104" xfId="0" applyNumberFormat="1" applyFont="1" applyFill="1" applyBorder="1" applyAlignment="1">
      <alignment horizontal="center"/>
    </xf>
    <xf numFmtId="2" fontId="14" fillId="10" borderId="121" xfId="0" applyNumberFormat="1" applyFont="1" applyFill="1" applyBorder="1" applyAlignment="1">
      <alignment horizontal="center" vertical="center"/>
    </xf>
    <xf numFmtId="2" fontId="14" fillId="10" borderId="121" xfId="0" applyNumberFormat="1" applyFont="1" applyFill="1" applyBorder="1" applyAlignment="1">
      <alignment horizontal="center"/>
    </xf>
    <xf numFmtId="164" fontId="2" fillId="10" borderId="121" xfId="0" applyNumberFormat="1" applyFont="1" applyFill="1" applyBorder="1" applyAlignment="1">
      <alignment horizontal="center"/>
    </xf>
    <xf numFmtId="164" fontId="2" fillId="11" borderId="121" xfId="0" applyNumberFormat="1" applyFont="1" applyFill="1" applyBorder="1" applyAlignment="1">
      <alignment horizontal="center"/>
    </xf>
    <xf numFmtId="164" fontId="18" fillId="5" borderId="125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14" fillId="0" borderId="48" xfId="1" applyFont="1" applyBorder="1"/>
    <xf numFmtId="0" fontId="18" fillId="6" borderId="44" xfId="1" applyFont="1" applyFill="1" applyBorder="1" applyAlignment="1">
      <alignment horizontal="center"/>
    </xf>
    <xf numFmtId="0" fontId="14" fillId="0" borderId="45" xfId="1" applyFont="1" applyBorder="1"/>
    <xf numFmtId="0" fontId="14" fillId="0" borderId="46" xfId="1" applyFont="1" applyBorder="1"/>
    <xf numFmtId="0" fontId="18" fillId="0" borderId="55" xfId="1" applyFont="1" applyBorder="1" applyAlignment="1">
      <alignment horizontal="right"/>
    </xf>
    <xf numFmtId="0" fontId="14" fillId="0" borderId="52" xfId="1" applyFont="1" applyBorder="1"/>
    <xf numFmtId="0" fontId="14" fillId="0" borderId="54" xfId="1" applyFont="1" applyBorder="1"/>
    <xf numFmtId="0" fontId="2" fillId="0" borderId="48" xfId="1" applyFont="1" applyBorder="1" applyAlignment="1">
      <alignment horizontal="center" vertical="center" wrapText="1"/>
    </xf>
    <xf numFmtId="0" fontId="14" fillId="0" borderId="49" xfId="1" applyFont="1" applyBorder="1"/>
    <xf numFmtId="0" fontId="21" fillId="0" borderId="55" xfId="1" applyFont="1" applyBorder="1" applyAlignment="1">
      <alignment horizontal="center"/>
    </xf>
    <xf numFmtId="0" fontId="14" fillId="0" borderId="56" xfId="1" applyFont="1" applyBorder="1"/>
    <xf numFmtId="0" fontId="21" fillId="0" borderId="51" xfId="1" applyFont="1" applyBorder="1" applyAlignment="1">
      <alignment horizontal="center"/>
    </xf>
    <xf numFmtId="0" fontId="1" fillId="0" borderId="123" xfId="1" applyFont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1" fillId="0" borderId="124" xfId="1" applyFont="1" applyBorder="1" applyAlignment="1">
      <alignment horizontal="center"/>
    </xf>
    <xf numFmtId="0" fontId="1" fillId="0" borderId="26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25" xfId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4" fillId="4" borderId="11" xfId="1" applyFont="1" applyFill="1" applyBorder="1" applyAlignment="1">
      <alignment horizontal="center" wrapText="1"/>
    </xf>
    <xf numFmtId="0" fontId="14" fillId="4" borderId="15" xfId="1" applyFont="1" applyFill="1" applyBorder="1" applyAlignment="1">
      <alignment horizontal="center" wrapText="1"/>
    </xf>
    <xf numFmtId="164" fontId="14" fillId="13" borderId="15" xfId="1" applyNumberFormat="1" applyFont="1" applyFill="1" applyBorder="1" applyAlignment="1">
      <alignment horizontal="center"/>
    </xf>
    <xf numFmtId="164" fontId="14" fillId="13" borderId="12" xfId="1" applyNumberFormat="1" applyFont="1" applyFill="1" applyBorder="1" applyAlignment="1">
      <alignment horizontal="center"/>
    </xf>
    <xf numFmtId="0" fontId="14" fillId="4" borderId="13" xfId="1" applyFont="1" applyFill="1" applyBorder="1" applyAlignment="1">
      <alignment horizontal="center" wrapText="1"/>
    </xf>
    <xf numFmtId="0" fontId="14" fillId="4" borderId="16" xfId="1" applyFont="1" applyFill="1" applyBorder="1" applyAlignment="1">
      <alignment horizontal="center" wrapText="1"/>
    </xf>
    <xf numFmtId="0" fontId="14" fillId="13" borderId="16" xfId="1" applyFont="1" applyFill="1" applyBorder="1" applyAlignment="1">
      <alignment horizontal="center"/>
    </xf>
    <xf numFmtId="0" fontId="14" fillId="13" borderId="14" xfId="1" applyFont="1" applyFill="1" applyBorder="1" applyAlignment="1">
      <alignment horizontal="center"/>
    </xf>
    <xf numFmtId="0" fontId="2" fillId="0" borderId="123" xfId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24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09" xfId="1" applyFont="1" applyBorder="1" applyAlignment="1">
      <alignment horizontal="left" wrapText="1"/>
    </xf>
    <xf numFmtId="0" fontId="2" fillId="0" borderId="37" xfId="1" applyFont="1" applyBorder="1" applyAlignment="1">
      <alignment horizontal="left" wrapText="1"/>
    </xf>
    <xf numFmtId="0" fontId="2" fillId="0" borderId="27" xfId="1" applyFont="1" applyFill="1" applyBorder="1" applyAlignment="1">
      <alignment horizontal="left" vertical="center" wrapText="1"/>
    </xf>
    <xf numFmtId="0" fontId="2" fillId="0" borderId="28" xfId="1" applyFont="1" applyFill="1" applyBorder="1" applyAlignment="1">
      <alignment horizontal="left" vertical="center" wrapText="1"/>
    </xf>
    <xf numFmtId="0" fontId="18" fillId="12" borderId="0" xfId="1" applyFont="1" applyFill="1" applyBorder="1" applyAlignment="1">
      <alignment horizontal="center" vertical="top" wrapText="1"/>
    </xf>
    <xf numFmtId="0" fontId="18" fillId="12" borderId="48" xfId="1" applyFont="1" applyFill="1" applyBorder="1" applyAlignment="1">
      <alignment horizontal="center" vertical="top" wrapText="1"/>
    </xf>
    <xf numFmtId="0" fontId="6" fillId="3" borderId="35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3" borderId="31" xfId="1" applyFont="1" applyFill="1" applyBorder="1" applyAlignment="1">
      <alignment horizontal="center" vertical="top" wrapText="1"/>
    </xf>
    <xf numFmtId="0" fontId="6" fillId="3" borderId="10" xfId="1" applyFont="1" applyFill="1" applyBorder="1" applyAlignment="1">
      <alignment horizontal="center" vertical="top" wrapText="1"/>
    </xf>
    <xf numFmtId="0" fontId="1" fillId="0" borderId="11" xfId="1" applyFont="1" applyBorder="1" applyAlignment="1">
      <alignment horizontal="center"/>
    </xf>
    <xf numFmtId="0" fontId="1" fillId="0" borderId="15" xfId="1" applyFont="1" applyBorder="1" applyAlignment="1">
      <alignment horizontal="center"/>
    </xf>
    <xf numFmtId="0" fontId="1" fillId="0" borderId="33" xfId="1" applyFont="1" applyBorder="1" applyAlignment="1">
      <alignment horizontal="center"/>
    </xf>
    <xf numFmtId="0" fontId="1" fillId="3" borderId="11" xfId="1" applyFont="1" applyFill="1" applyBorder="1" applyAlignment="1">
      <alignment horizontal="center" vertical="top"/>
    </xf>
    <xf numFmtId="0" fontId="1" fillId="3" borderId="15" xfId="1" applyFont="1" applyFill="1" applyBorder="1" applyAlignment="1">
      <alignment horizontal="center" vertical="top"/>
    </xf>
    <xf numFmtId="0" fontId="1" fillId="3" borderId="12" xfId="1" applyFont="1" applyFill="1" applyBorder="1" applyAlignment="1">
      <alignment horizontal="center" vertical="top"/>
    </xf>
    <xf numFmtId="0" fontId="14" fillId="10" borderId="113" xfId="1" applyFont="1" applyFill="1" applyBorder="1" applyAlignment="1">
      <alignment horizontal="center" vertical="center"/>
    </xf>
    <xf numFmtId="0" fontId="14" fillId="3" borderId="100" xfId="1" applyFont="1" applyFill="1" applyBorder="1"/>
    <xf numFmtId="0" fontId="14" fillId="3" borderId="120" xfId="1" applyFont="1" applyFill="1" applyBorder="1"/>
    <xf numFmtId="166" fontId="14" fillId="10" borderId="113" xfId="1" applyNumberFormat="1" applyFont="1" applyFill="1" applyBorder="1" applyAlignment="1">
      <alignment horizontal="center" vertical="center"/>
    </xf>
    <xf numFmtId="0" fontId="14" fillId="10" borderId="115" xfId="1" applyFont="1" applyFill="1" applyBorder="1" applyAlignment="1">
      <alignment horizontal="center" vertical="center"/>
    </xf>
    <xf numFmtId="0" fontId="14" fillId="3" borderId="117" xfId="1" applyFont="1" applyFill="1" applyBorder="1"/>
    <xf numFmtId="0" fontId="14" fillId="3" borderId="122" xfId="1" applyFont="1" applyFill="1" applyBorder="1"/>
    <xf numFmtId="2" fontId="14" fillId="9" borderId="102" xfId="1" applyNumberFormat="1" applyFont="1" applyFill="1" applyBorder="1" applyAlignment="1">
      <alignment horizontal="center" vertical="center"/>
    </xf>
    <xf numFmtId="164" fontId="14" fillId="9" borderId="102" xfId="1" applyNumberFormat="1" applyFont="1" applyFill="1" applyBorder="1" applyAlignment="1">
      <alignment horizontal="center" vertical="center"/>
    </xf>
    <xf numFmtId="0" fontId="5" fillId="0" borderId="28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top" wrapText="1"/>
    </xf>
    <xf numFmtId="0" fontId="5" fillId="0" borderId="0" xfId="1" applyFont="1" applyBorder="1" applyAlignment="1">
      <alignment horizontal="center" vertical="top" wrapText="1"/>
    </xf>
    <xf numFmtId="0" fontId="5" fillId="0" borderId="30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14" fillId="9" borderId="112" xfId="1" applyFont="1" applyFill="1" applyBorder="1" applyAlignment="1">
      <alignment horizontal="center" vertical="center"/>
    </xf>
    <xf numFmtId="0" fontId="14" fillId="3" borderId="116" xfId="1" applyFont="1" applyFill="1" applyBorder="1"/>
    <xf numFmtId="0" fontId="14" fillId="3" borderId="119" xfId="1" applyFont="1" applyFill="1" applyBorder="1"/>
    <xf numFmtId="2" fontId="14" fillId="9" borderId="113" xfId="1" applyNumberFormat="1" applyFont="1" applyFill="1" applyBorder="1" applyAlignment="1">
      <alignment horizontal="center" vertical="center"/>
    </xf>
    <xf numFmtId="0" fontId="14" fillId="3" borderId="118" xfId="1" applyFont="1" applyFill="1" applyBorder="1"/>
    <xf numFmtId="164" fontId="14" fillId="9" borderId="113" xfId="1" applyNumberFormat="1" applyFont="1" applyFill="1" applyBorder="1" applyAlignment="1">
      <alignment horizontal="center" vertical="center"/>
    </xf>
    <xf numFmtId="164" fontId="14" fillId="10" borderId="113" xfId="1" applyNumberFormat="1" applyFont="1" applyFill="1" applyBorder="1" applyAlignment="1">
      <alignment horizontal="center" vertical="center"/>
    </xf>
    <xf numFmtId="164" fontId="14" fillId="0" borderId="97" xfId="1" applyNumberFormat="1" applyFont="1" applyFill="1" applyBorder="1" applyAlignment="1">
      <alignment horizontal="center" vertical="center"/>
    </xf>
    <xf numFmtId="0" fontId="14" fillId="0" borderId="100" xfId="1" applyFont="1" applyFill="1" applyBorder="1"/>
    <xf numFmtId="0" fontId="14" fillId="0" borderId="106" xfId="1" applyFont="1" applyFill="1" applyBorder="1"/>
    <xf numFmtId="165" fontId="14" fillId="0" borderId="97" xfId="1" applyNumberFormat="1" applyFont="1" applyFill="1" applyBorder="1" applyAlignment="1">
      <alignment horizontal="center" vertical="center"/>
    </xf>
    <xf numFmtId="0" fontId="14" fillId="0" borderId="97" xfId="1" applyFont="1" applyFill="1" applyBorder="1" applyAlignment="1">
      <alignment horizontal="center" vertical="center"/>
    </xf>
    <xf numFmtId="0" fontId="14" fillId="0" borderId="103" xfId="1" applyFont="1" applyFill="1" applyBorder="1" applyAlignment="1">
      <alignment horizontal="center" vertical="center"/>
    </xf>
    <xf numFmtId="0" fontId="14" fillId="0" borderId="105" xfId="1" applyFont="1" applyFill="1" applyBorder="1"/>
    <xf numFmtId="0" fontId="14" fillId="0" borderId="108" xfId="1" applyFont="1" applyFill="1" applyBorder="1"/>
    <xf numFmtId="0" fontId="4" fillId="8" borderId="109" xfId="1" applyFont="1" applyFill="1" applyBorder="1" applyAlignment="1">
      <alignment horizontal="center" vertical="center" textRotation="90"/>
    </xf>
    <xf numFmtId="0" fontId="4" fillId="8" borderId="110" xfId="1" applyFont="1" applyFill="1" applyBorder="1" applyAlignment="1">
      <alignment horizontal="center" vertical="center" textRotation="90"/>
    </xf>
    <xf numFmtId="0" fontId="4" fillId="8" borderId="111" xfId="1" applyFont="1" applyFill="1" applyBorder="1" applyAlignment="1">
      <alignment horizontal="center" vertical="center" textRotation="90"/>
    </xf>
    <xf numFmtId="0" fontId="4" fillId="2" borderId="1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3" xfId="1" applyFont="1" applyFill="1" applyBorder="1" applyAlignment="1">
      <alignment horizontal="center" vertical="top"/>
    </xf>
    <xf numFmtId="0" fontId="4" fillId="2" borderId="4" xfId="1" applyFont="1" applyFill="1" applyBorder="1" applyAlignment="1">
      <alignment horizontal="center" vertical="top"/>
    </xf>
    <xf numFmtId="0" fontId="4" fillId="2" borderId="0" xfId="1" applyFont="1" applyFill="1" applyBorder="1" applyAlignment="1">
      <alignment horizontal="center" vertical="top"/>
    </xf>
    <xf numFmtId="0" fontId="4" fillId="2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top"/>
    </xf>
    <xf numFmtId="0" fontId="2" fillId="0" borderId="81" xfId="1" applyFont="1" applyFill="1" applyBorder="1" applyAlignment="1">
      <alignment horizontal="center" vertical="center"/>
    </xf>
    <xf numFmtId="0" fontId="14" fillId="0" borderId="78" xfId="1" applyFont="1" applyFill="1" applyBorder="1"/>
    <xf numFmtId="0" fontId="14" fillId="0" borderId="85" xfId="1" applyFont="1" applyFill="1" applyBorder="1"/>
    <xf numFmtId="2" fontId="14" fillId="0" borderId="97" xfId="1" applyNumberFormat="1" applyFont="1" applyFill="1" applyBorder="1" applyAlignment="1">
      <alignment horizontal="center" vertical="center"/>
    </xf>
    <xf numFmtId="0" fontId="14" fillId="7" borderId="48" xfId="1" applyFont="1" applyFill="1" applyBorder="1" applyAlignment="1">
      <alignment horizontal="center" vertical="center" wrapText="1"/>
    </xf>
    <xf numFmtId="0" fontId="14" fillId="0" borderId="48" xfId="1" applyFont="1" applyBorder="1" applyAlignment="1">
      <alignment horizontal="center"/>
    </xf>
    <xf numFmtId="0" fontId="14" fillId="7" borderId="48" xfId="1" applyFont="1" applyFill="1" applyBorder="1" applyAlignment="1">
      <alignment horizontal="center"/>
    </xf>
    <xf numFmtId="0" fontId="18" fillId="6" borderId="81" xfId="1" applyFont="1" applyFill="1" applyBorder="1" applyAlignment="1">
      <alignment horizontal="center" vertical="center" wrapText="1"/>
    </xf>
    <xf numFmtId="0" fontId="14" fillId="0" borderId="78" xfId="1" applyFont="1" applyBorder="1"/>
    <xf numFmtId="0" fontId="18" fillId="6" borderId="97" xfId="1" applyFont="1" applyFill="1" applyBorder="1" applyAlignment="1">
      <alignment horizontal="center" vertical="center" wrapText="1"/>
    </xf>
    <xf numFmtId="0" fontId="14" fillId="0" borderId="100" xfId="1" applyFont="1" applyBorder="1"/>
    <xf numFmtId="0" fontId="18" fillId="6" borderId="97" xfId="1" applyFont="1" applyFill="1" applyBorder="1" applyAlignment="1">
      <alignment horizontal="center" vertical="center"/>
    </xf>
    <xf numFmtId="0" fontId="18" fillId="6" borderId="57" xfId="1" applyFont="1" applyFill="1" applyBorder="1" applyAlignment="1">
      <alignment horizontal="center" vertical="center"/>
    </xf>
    <xf numFmtId="0" fontId="14" fillId="0" borderId="83" xfId="1" applyFont="1" applyBorder="1"/>
    <xf numFmtId="0" fontId="14" fillId="0" borderId="0" xfId="1" applyFont="1" applyBorder="1"/>
    <xf numFmtId="0" fontId="18" fillId="6" borderId="98" xfId="1" applyFont="1" applyFill="1" applyBorder="1" applyAlignment="1">
      <alignment horizontal="center" vertical="center" wrapText="1"/>
    </xf>
    <xf numFmtId="0" fontId="14" fillId="0" borderId="101" xfId="1" applyFont="1" applyBorder="1"/>
    <xf numFmtId="0" fontId="18" fillId="6" borderId="44" xfId="1" applyFont="1" applyFill="1" applyBorder="1" applyAlignment="1">
      <alignment horizontal="center" vertical="center" textRotation="90" wrapText="1"/>
    </xf>
    <xf numFmtId="0" fontId="14" fillId="0" borderId="95" xfId="1" applyFont="1" applyBorder="1"/>
    <xf numFmtId="0" fontId="14" fillId="0" borderId="47" xfId="1" applyFont="1" applyBorder="1"/>
    <xf numFmtId="0" fontId="14" fillId="0" borderId="44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/>
    </xf>
    <xf numFmtId="0" fontId="14" fillId="0" borderId="45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/>
    </xf>
    <xf numFmtId="0" fontId="14" fillId="0" borderId="46" xfId="1" applyFont="1" applyFill="1" applyBorder="1" applyAlignment="1">
      <alignment horizontal="center"/>
    </xf>
    <xf numFmtId="0" fontId="14" fillId="7" borderId="95" xfId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14" fillId="7" borderId="0" xfId="1" applyFont="1" applyFill="1" applyBorder="1" applyAlignment="1">
      <alignment horizontal="center" vertical="center" wrapText="1"/>
    </xf>
    <xf numFmtId="0" fontId="14" fillId="7" borderId="0" xfId="1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center"/>
    </xf>
    <xf numFmtId="0" fontId="14" fillId="0" borderId="96" xfId="1" applyFont="1" applyBorder="1"/>
    <xf numFmtId="0" fontId="14" fillId="7" borderId="47" xfId="1" applyFont="1" applyFill="1" applyBorder="1" applyAlignment="1">
      <alignment horizontal="center" vertical="center" wrapText="1"/>
    </xf>
    <xf numFmtId="0" fontId="2" fillId="0" borderId="88" xfId="1" applyFont="1" applyFill="1" applyBorder="1" applyAlignment="1">
      <alignment horizontal="center" vertical="center" wrapText="1"/>
    </xf>
    <xf numFmtId="0" fontId="14" fillId="0" borderId="91" xfId="1" applyFont="1" applyFill="1" applyBorder="1"/>
    <xf numFmtId="0" fontId="2" fillId="0" borderId="67" xfId="1" applyFont="1" applyFill="1" applyBorder="1" applyAlignment="1">
      <alignment horizontal="center" vertical="center"/>
    </xf>
    <xf numFmtId="0" fontId="14" fillId="0" borderId="68" xfId="1" applyFont="1" applyFill="1" applyBorder="1"/>
    <xf numFmtId="0" fontId="2" fillId="0" borderId="67" xfId="1" applyFont="1" applyFill="1" applyBorder="1" applyAlignment="1">
      <alignment horizontal="center"/>
    </xf>
    <xf numFmtId="0" fontId="2" fillId="0" borderId="67" xfId="1" applyFont="1" applyFill="1" applyBorder="1" applyAlignment="1">
      <alignment horizontal="center" vertical="top"/>
    </xf>
    <xf numFmtId="0" fontId="15" fillId="0" borderId="67" xfId="1" applyFont="1" applyFill="1" applyBorder="1" applyAlignment="1">
      <alignment horizontal="center" vertical="center" wrapText="1"/>
    </xf>
    <xf numFmtId="0" fontId="16" fillId="0" borderId="94" xfId="1" applyFont="1" applyFill="1" applyBorder="1"/>
    <xf numFmtId="0" fontId="2" fillId="0" borderId="86" xfId="1" applyFont="1" applyFill="1" applyBorder="1" applyAlignment="1">
      <alignment horizontal="center" vertical="center"/>
    </xf>
    <xf numFmtId="0" fontId="2" fillId="0" borderId="88" xfId="1" applyFont="1" applyFill="1" applyBorder="1" applyAlignment="1">
      <alignment horizontal="center" vertical="center"/>
    </xf>
    <xf numFmtId="0" fontId="14" fillId="0" borderId="80" xfId="1" applyFont="1" applyFill="1" applyBorder="1"/>
    <xf numFmtId="0" fontId="2" fillId="0" borderId="88" xfId="1" applyFont="1" applyFill="1" applyBorder="1" applyAlignment="1">
      <alignment horizontal="center"/>
    </xf>
    <xf numFmtId="0" fontId="2" fillId="0" borderId="58" xfId="1" applyFont="1" applyFill="1" applyBorder="1" applyAlignment="1">
      <alignment horizontal="center" vertical="top"/>
    </xf>
    <xf numFmtId="0" fontId="14" fillId="0" borderId="59" xfId="1" applyFont="1" applyFill="1" applyBorder="1"/>
    <xf numFmtId="0" fontId="15" fillId="0" borderId="70" xfId="1" applyFont="1" applyFill="1" applyBorder="1" applyAlignment="1">
      <alignment horizontal="center"/>
    </xf>
    <xf numFmtId="0" fontId="16" fillId="0" borderId="70" xfId="1" applyFont="1" applyFill="1" applyBorder="1"/>
    <xf numFmtId="0" fontId="19" fillId="0" borderId="71" xfId="1" applyFont="1" applyFill="1" applyBorder="1" applyAlignment="1">
      <alignment horizontal="center"/>
    </xf>
    <xf numFmtId="0" fontId="16" fillId="0" borderId="72" xfId="1" applyFont="1" applyFill="1" applyBorder="1"/>
    <xf numFmtId="0" fontId="16" fillId="0" borderId="73" xfId="1" applyFont="1" applyFill="1" applyBorder="1"/>
    <xf numFmtId="0" fontId="19" fillId="0" borderId="74" xfId="1" applyFont="1" applyFill="1" applyBorder="1" applyAlignment="1">
      <alignment horizontal="center"/>
    </xf>
    <xf numFmtId="0" fontId="16" fillId="0" borderId="75" xfId="1" applyFont="1" applyFill="1" applyBorder="1"/>
    <xf numFmtId="0" fontId="18" fillId="6" borderId="77" xfId="1" applyFont="1" applyFill="1" applyBorder="1" applyAlignment="1">
      <alignment horizontal="center" vertical="center" wrapText="1"/>
    </xf>
    <xf numFmtId="0" fontId="14" fillId="0" borderId="84" xfId="1" applyFont="1" applyBorder="1"/>
    <xf numFmtId="0" fontId="14" fillId="0" borderId="92" xfId="1" applyFont="1" applyBorder="1"/>
    <xf numFmtId="0" fontId="22" fillId="0" borderId="78" xfId="1" applyFont="1" applyFill="1" applyBorder="1" applyAlignment="1">
      <alignment horizontal="center" vertical="center" wrapText="1"/>
    </xf>
    <xf numFmtId="0" fontId="2" fillId="0" borderId="79" xfId="1" applyFont="1" applyFill="1" applyBorder="1" applyAlignment="1">
      <alignment horizontal="center" vertical="center"/>
    </xf>
    <xf numFmtId="0" fontId="22" fillId="0" borderId="81" xfId="1" applyFont="1" applyFill="1" applyBorder="1" applyAlignment="1">
      <alignment horizontal="center" vertical="center" wrapText="1"/>
    </xf>
    <xf numFmtId="0" fontId="2" fillId="0" borderId="82" xfId="1" applyFont="1" applyFill="1" applyBorder="1" applyAlignment="1">
      <alignment horizontal="center" vertical="center"/>
    </xf>
    <xf numFmtId="0" fontId="15" fillId="0" borderId="83" xfId="1" applyFont="1" applyFill="1" applyBorder="1" applyAlignment="1">
      <alignment horizontal="center" vertical="center"/>
    </xf>
    <xf numFmtId="0" fontId="16" fillId="0" borderId="0" xfId="1" applyFont="1" applyFill="1" applyBorder="1"/>
    <xf numFmtId="0" fontId="16" fillId="0" borderId="45" xfId="1" applyFont="1" applyFill="1" applyBorder="1"/>
    <xf numFmtId="0" fontId="16" fillId="0" borderId="46" xfId="1" applyFont="1" applyFill="1" applyBorder="1"/>
    <xf numFmtId="0" fontId="16" fillId="0" borderId="87" xfId="1" applyFont="1" applyFill="1" applyBorder="1"/>
    <xf numFmtId="0" fontId="16" fillId="0" borderId="48" xfId="1" applyFont="1" applyFill="1" applyBorder="1"/>
    <xf numFmtId="0" fontId="16" fillId="0" borderId="49" xfId="1" applyFont="1" applyFill="1" applyBorder="1"/>
    <xf numFmtId="0" fontId="2" fillId="0" borderId="55" xfId="1" applyFont="1" applyFill="1" applyBorder="1" applyAlignment="1">
      <alignment horizontal="center" vertical="center"/>
    </xf>
    <xf numFmtId="0" fontId="14" fillId="0" borderId="56" xfId="1" applyFont="1" applyFill="1" applyBorder="1" applyAlignment="1">
      <alignment vertical="center"/>
    </xf>
    <xf numFmtId="0" fontId="15" fillId="0" borderId="57" xfId="1" applyFont="1" applyFill="1" applyBorder="1" applyAlignment="1">
      <alignment horizontal="center" vertical="center"/>
    </xf>
    <xf numFmtId="0" fontId="16" fillId="0" borderId="45" xfId="1" applyFont="1" applyFill="1" applyBorder="1" applyAlignment="1">
      <alignment vertical="center"/>
    </xf>
    <xf numFmtId="0" fontId="16" fillId="0" borderId="46" xfId="1" applyFont="1" applyFill="1" applyBorder="1" applyAlignment="1">
      <alignment vertical="center"/>
    </xf>
    <xf numFmtId="0" fontId="17" fillId="0" borderId="57" xfId="1" applyFont="1" applyFill="1" applyBorder="1" applyAlignment="1">
      <alignment horizontal="center" vertical="center"/>
    </xf>
    <xf numFmtId="0" fontId="16" fillId="0" borderId="56" xfId="1" applyFont="1" applyFill="1" applyBorder="1" applyAlignment="1">
      <alignment vertical="center"/>
    </xf>
    <xf numFmtId="0" fontId="18" fillId="6" borderId="44" xfId="1" applyFont="1" applyFill="1" applyBorder="1" applyAlignment="1">
      <alignment horizontal="center" vertical="center" wrapText="1"/>
    </xf>
    <xf numFmtId="0" fontId="2" fillId="0" borderId="58" xfId="1" applyFont="1" applyFill="1" applyBorder="1" applyAlignment="1">
      <alignment horizontal="center"/>
    </xf>
    <xf numFmtId="0" fontId="2" fillId="0" borderId="61" xfId="1" applyFont="1" applyFill="1" applyBorder="1" applyAlignment="1">
      <alignment horizontal="center" vertical="center"/>
    </xf>
    <xf numFmtId="0" fontId="14" fillId="0" borderId="61" xfId="1" applyFont="1" applyFill="1" applyBorder="1"/>
    <xf numFmtId="0" fontId="2" fillId="0" borderId="62" xfId="1" applyFont="1" applyFill="1" applyBorder="1" applyAlignment="1">
      <alignment horizontal="center" vertical="center" wrapText="1"/>
    </xf>
    <xf numFmtId="0" fontId="14" fillId="0" borderId="63" xfId="1" applyFont="1" applyFill="1" applyBorder="1"/>
    <xf numFmtId="0" fontId="14" fillId="0" borderId="64" xfId="1" applyFont="1" applyFill="1" applyBorder="1"/>
    <xf numFmtId="0" fontId="2" fillId="0" borderId="61" xfId="1" applyFont="1" applyFill="1" applyBorder="1" applyAlignment="1">
      <alignment horizontal="center" vertical="center" wrapText="1"/>
    </xf>
    <xf numFmtId="0" fontId="14" fillId="0" borderId="65" xfId="1" applyFont="1" applyFill="1" applyBorder="1"/>
    <xf numFmtId="0" fontId="13" fillId="0" borderId="45" xfId="1" applyFont="1" applyBorder="1" applyAlignment="1">
      <alignment horizontal="center" wrapText="1"/>
    </xf>
    <xf numFmtId="14" fontId="15" fillId="0" borderId="51" xfId="1" applyNumberFormat="1" applyFont="1" applyFill="1" applyBorder="1" applyAlignment="1">
      <alignment horizontal="center" vertical="center"/>
    </xf>
    <xf numFmtId="0" fontId="16" fillId="0" borderId="52" xfId="1" applyFont="1" applyFill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3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9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8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3" xfId="0" applyFont="1" applyFill="1" applyBorder="1" applyAlignment="1">
      <alignment horizontal="center" vertical="center"/>
    </xf>
    <xf numFmtId="0" fontId="14" fillId="3" borderId="100" xfId="0" applyFont="1" applyFill="1" applyBorder="1"/>
    <xf numFmtId="0" fontId="14" fillId="3" borderId="120" xfId="0" applyFont="1" applyFill="1" applyBorder="1"/>
    <xf numFmtId="166" fontId="14" fillId="10" borderId="113" xfId="0" applyNumberFormat="1" applyFont="1" applyFill="1" applyBorder="1" applyAlignment="1">
      <alignment horizontal="center" vertical="center"/>
    </xf>
    <xf numFmtId="0" fontId="14" fillId="10" borderId="115" xfId="0" applyFont="1" applyFill="1" applyBorder="1" applyAlignment="1">
      <alignment horizontal="center" vertical="center"/>
    </xf>
    <xf numFmtId="0" fontId="14" fillId="3" borderId="117" xfId="0" applyFont="1" applyFill="1" applyBorder="1"/>
    <xf numFmtId="0" fontId="14" fillId="3" borderId="122" xfId="0" applyFont="1" applyFill="1" applyBorder="1"/>
    <xf numFmtId="2" fontId="14" fillId="9" borderId="102" xfId="0" applyNumberFormat="1" applyFont="1" applyFill="1" applyBorder="1" applyAlignment="1">
      <alignment horizontal="center" vertical="center"/>
    </xf>
    <xf numFmtId="164" fontId="14" fillId="9" borderId="102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2" xfId="0" applyFont="1" applyFill="1" applyBorder="1" applyAlignment="1">
      <alignment horizontal="center" vertical="center"/>
    </xf>
    <xf numFmtId="0" fontId="14" fillId="3" borderId="116" xfId="0" applyFont="1" applyFill="1" applyBorder="1"/>
    <xf numFmtId="0" fontId="14" fillId="3" borderId="119" xfId="0" applyFont="1" applyFill="1" applyBorder="1"/>
    <xf numFmtId="2" fontId="14" fillId="9" borderId="113" xfId="0" applyNumberFormat="1" applyFont="1" applyFill="1" applyBorder="1" applyAlignment="1">
      <alignment horizontal="center" vertical="center"/>
    </xf>
    <xf numFmtId="0" fontId="14" fillId="3" borderId="118" xfId="0" applyFont="1" applyFill="1" applyBorder="1"/>
    <xf numFmtId="164" fontId="14" fillId="9" borderId="113" xfId="0" applyNumberFormat="1" applyFont="1" applyFill="1" applyBorder="1" applyAlignment="1">
      <alignment horizontal="center" vertical="center"/>
    </xf>
    <xf numFmtId="164" fontId="14" fillId="10" borderId="113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6" xfId="0" applyFont="1" applyFill="1" applyBorder="1"/>
    <xf numFmtId="165" fontId="14" fillId="0" borderId="97" xfId="0" applyNumberFormat="1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14" fillId="0" borderId="105" xfId="0" applyFont="1" applyFill="1" applyBorder="1"/>
    <xf numFmtId="0" fontId="14" fillId="0" borderId="108" xfId="0" applyFont="1" applyFill="1" applyBorder="1"/>
    <xf numFmtId="0" fontId="4" fillId="8" borderId="109" xfId="0" applyFont="1" applyFill="1" applyBorder="1" applyAlignment="1">
      <alignment horizontal="center" vertical="center" textRotation="90"/>
    </xf>
    <xf numFmtId="0" fontId="4" fillId="8" borderId="110" xfId="0" applyFont="1" applyFill="1" applyBorder="1" applyAlignment="1">
      <alignment horizontal="center" vertical="center" textRotation="90"/>
    </xf>
    <xf numFmtId="0" fontId="4" fillId="8" borderId="11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81" xfId="0" applyFont="1" applyFill="1" applyBorder="1" applyAlignment="1">
      <alignment horizontal="center" vertical="center"/>
    </xf>
    <xf numFmtId="0" fontId="14" fillId="0" borderId="78" xfId="0" applyFont="1" applyFill="1" applyBorder="1"/>
    <xf numFmtId="0" fontId="14" fillId="0" borderId="85" xfId="0" applyFont="1" applyFill="1" applyBorder="1"/>
    <xf numFmtId="2" fontId="14" fillId="0" borderId="97" xfId="0" applyNumberFormat="1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/>
    </xf>
    <xf numFmtId="0" fontId="14" fillId="7" borderId="48" xfId="0" applyFont="1" applyFill="1" applyBorder="1" applyAlignment="1">
      <alignment horizontal="center"/>
    </xf>
    <xf numFmtId="0" fontId="14" fillId="0" borderId="48" xfId="0" applyFont="1" applyBorder="1"/>
    <xf numFmtId="0" fontId="14" fillId="0" borderId="49" xfId="0" applyFont="1" applyBorder="1"/>
    <xf numFmtId="0" fontId="18" fillId="6" borderId="81" xfId="0" applyFont="1" applyFill="1" applyBorder="1" applyAlignment="1">
      <alignment horizontal="center" vertical="center" wrapText="1"/>
    </xf>
    <xf numFmtId="0" fontId="14" fillId="0" borderId="78" xfId="0" applyFont="1" applyBorder="1"/>
    <xf numFmtId="0" fontId="18" fillId="6" borderId="97" xfId="0" applyFont="1" applyFill="1" applyBorder="1" applyAlignment="1">
      <alignment horizontal="center" vertical="center" wrapText="1"/>
    </xf>
    <xf numFmtId="0" fontId="14" fillId="0" borderId="100" xfId="0" applyFont="1" applyBorder="1"/>
    <xf numFmtId="0" fontId="18" fillId="6" borderId="97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0" fontId="14" fillId="0" borderId="45" xfId="0" applyFont="1" applyBorder="1"/>
    <xf numFmtId="0" fontId="14" fillId="0" borderId="83" xfId="0" applyFont="1" applyBorder="1"/>
    <xf numFmtId="0" fontId="14" fillId="0" borderId="0" xfId="0" applyFont="1" applyBorder="1"/>
    <xf numFmtId="0" fontId="18" fillId="6" borderId="98" xfId="0" applyFont="1" applyFill="1" applyBorder="1" applyAlignment="1">
      <alignment horizontal="center" vertical="center" wrapText="1"/>
    </xf>
    <xf numFmtId="0" fontId="14" fillId="0" borderId="101" xfId="0" applyFont="1" applyBorder="1"/>
    <xf numFmtId="0" fontId="18" fillId="6" borderId="44" xfId="0" applyFont="1" applyFill="1" applyBorder="1" applyAlignment="1">
      <alignment horizontal="center" vertical="center" textRotation="90" wrapText="1"/>
    </xf>
    <xf numFmtId="0" fontId="14" fillId="0" borderId="95" xfId="0" applyFont="1" applyBorder="1"/>
    <xf numFmtId="0" fontId="14" fillId="0" borderId="47" xfId="0" applyFont="1" applyBorder="1"/>
    <xf numFmtId="0" fontId="14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/>
    </xf>
    <xf numFmtId="0" fontId="14" fillId="7" borderId="95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6" xfId="0" applyFont="1" applyBorder="1"/>
    <xf numFmtId="0" fontId="14" fillId="7" borderId="47" xfId="0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center" vertical="center" wrapText="1"/>
    </xf>
    <xf numFmtId="0" fontId="14" fillId="0" borderId="91" xfId="0" applyFont="1" applyFill="1" applyBorder="1"/>
    <xf numFmtId="0" fontId="2" fillId="0" borderId="67" xfId="0" applyFont="1" applyFill="1" applyBorder="1" applyAlignment="1">
      <alignment horizontal="center" vertical="center"/>
    </xf>
    <xf numFmtId="0" fontId="14" fillId="0" borderId="68" xfId="0" applyFont="1" applyFill="1" applyBorder="1"/>
    <xf numFmtId="0" fontId="2" fillId="0" borderId="67" xfId="0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 vertical="top"/>
    </xf>
    <xf numFmtId="0" fontId="15" fillId="0" borderId="67" xfId="0" applyFont="1" applyFill="1" applyBorder="1" applyAlignment="1">
      <alignment horizontal="center" vertical="center" wrapText="1"/>
    </xf>
    <xf numFmtId="0" fontId="16" fillId="0" borderId="94" xfId="0" applyFont="1" applyFill="1" applyBorder="1"/>
    <xf numFmtId="0" fontId="2" fillId="0" borderId="86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14" fillId="0" borderId="80" xfId="0" applyFont="1" applyFill="1" applyBorder="1"/>
    <xf numFmtId="0" fontId="2" fillId="0" borderId="88" xfId="0" applyFont="1" applyFill="1" applyBorder="1" applyAlignment="1">
      <alignment horizontal="center"/>
    </xf>
    <xf numFmtId="0" fontId="2" fillId="0" borderId="58" xfId="0" applyFont="1" applyFill="1" applyBorder="1" applyAlignment="1">
      <alignment horizontal="center" vertical="top"/>
    </xf>
    <xf numFmtId="0" fontId="14" fillId="0" borderId="59" xfId="0" applyFont="1" applyFill="1" applyBorder="1"/>
    <xf numFmtId="0" fontId="15" fillId="0" borderId="70" xfId="0" applyFont="1" applyFill="1" applyBorder="1" applyAlignment="1">
      <alignment horizontal="center"/>
    </xf>
    <xf numFmtId="0" fontId="16" fillId="0" borderId="70" xfId="0" applyFont="1" applyFill="1" applyBorder="1"/>
    <xf numFmtId="0" fontId="19" fillId="0" borderId="71" xfId="0" applyFont="1" applyFill="1" applyBorder="1" applyAlignment="1">
      <alignment horizontal="center"/>
    </xf>
    <xf numFmtId="0" fontId="16" fillId="0" borderId="72" xfId="0" applyFont="1" applyFill="1" applyBorder="1"/>
    <xf numFmtId="0" fontId="16" fillId="0" borderId="73" xfId="0" applyFont="1" applyFill="1" applyBorder="1"/>
    <xf numFmtId="0" fontId="19" fillId="0" borderId="74" xfId="0" applyFont="1" applyFill="1" applyBorder="1" applyAlignment="1">
      <alignment horizontal="center"/>
    </xf>
    <xf numFmtId="0" fontId="16" fillId="0" borderId="75" xfId="0" applyFont="1" applyFill="1" applyBorder="1"/>
    <xf numFmtId="0" fontId="18" fillId="6" borderId="77" xfId="0" applyFont="1" applyFill="1" applyBorder="1" applyAlignment="1">
      <alignment horizontal="center" vertical="center" wrapText="1"/>
    </xf>
    <xf numFmtId="0" fontId="14" fillId="0" borderId="84" xfId="0" applyFont="1" applyBorder="1"/>
    <xf numFmtId="0" fontId="14" fillId="0" borderId="92" xfId="0" applyFont="1" applyBorder="1"/>
    <xf numFmtId="0" fontId="22" fillId="0" borderId="78" xfId="0" applyFont="1" applyFill="1" applyBorder="1" applyAlignment="1">
      <alignment horizontal="center" vertical="center" wrapText="1"/>
    </xf>
    <xf numFmtId="0" fontId="2" fillId="0" borderId="79" xfId="0" applyFont="1" applyFill="1" applyBorder="1" applyAlignment="1">
      <alignment horizontal="center" vertical="center"/>
    </xf>
    <xf numFmtId="0" fontId="22" fillId="0" borderId="81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5" xfId="0" applyFont="1" applyFill="1" applyBorder="1"/>
    <xf numFmtId="0" fontId="16" fillId="0" borderId="46" xfId="0" applyFont="1" applyFill="1" applyBorder="1"/>
    <xf numFmtId="0" fontId="16" fillId="0" borderId="87" xfId="0" applyFont="1" applyFill="1" applyBorder="1"/>
    <xf numFmtId="0" fontId="16" fillId="0" borderId="48" xfId="0" applyFont="1" applyFill="1" applyBorder="1"/>
    <xf numFmtId="0" fontId="16" fillId="0" borderId="49" xfId="0" applyFont="1" applyFill="1" applyBorder="1"/>
    <xf numFmtId="0" fontId="2" fillId="0" borderId="55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vertical="center"/>
    </xf>
    <xf numFmtId="0" fontId="15" fillId="0" borderId="57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vertical="center"/>
    </xf>
    <xf numFmtId="0" fontId="16" fillId="0" borderId="46" xfId="0" applyFont="1" applyFill="1" applyBorder="1" applyAlignment="1">
      <alignment vertical="center"/>
    </xf>
    <xf numFmtId="0" fontId="17" fillId="0" borderId="57" xfId="0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vertical="center"/>
    </xf>
    <xf numFmtId="0" fontId="18" fillId="6" borderId="44" xfId="0" applyFont="1" applyFill="1" applyBorder="1" applyAlignment="1">
      <alignment horizontal="center" vertical="center" wrapText="1"/>
    </xf>
    <xf numFmtId="0" fontId="2" fillId="0" borderId="58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14" fillId="0" borderId="64" xfId="0" applyFont="1" applyFill="1" applyBorder="1"/>
    <xf numFmtId="0" fontId="2" fillId="0" borderId="61" xfId="0" applyFont="1" applyFill="1" applyBorder="1" applyAlignment="1">
      <alignment horizontal="center" vertical="center" wrapText="1"/>
    </xf>
    <xf numFmtId="0" fontId="14" fillId="0" borderId="65" xfId="0" applyFont="1" applyFill="1" applyBorder="1"/>
    <xf numFmtId="0" fontId="13" fillId="0" borderId="45" xfId="0" applyFont="1" applyBorder="1" applyAlignment="1">
      <alignment horizontal="center" wrapText="1"/>
    </xf>
    <xf numFmtId="14" fontId="15" fillId="0" borderId="51" xfId="0" applyNumberFormat="1" applyFont="1" applyFill="1" applyBorder="1" applyAlignment="1">
      <alignment horizontal="center" vertical="center"/>
    </xf>
    <xf numFmtId="0" fontId="16" fillId="0" borderId="52" xfId="0" applyFont="1" applyFill="1" applyBorder="1"/>
    <xf numFmtId="0" fontId="15" fillId="0" borderId="51" xfId="0" applyFont="1" applyBorder="1" applyAlignment="1">
      <alignment horizontal="center" vertical="center" wrapText="1"/>
    </xf>
    <xf numFmtId="0" fontId="16" fillId="0" borderId="52" xfId="0" applyFont="1" applyBorder="1"/>
    <xf numFmtId="0" fontId="16" fillId="0" borderId="54" xfId="0" applyFont="1" applyBorder="1"/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0" fillId="0" borderId="32" xfId="0" applyFont="1" applyBorder="1"/>
    <xf numFmtId="0" fontId="0" fillId="0" borderId="129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9" fillId="0" borderId="12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0" fillId="0" borderId="129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9" fillId="0" borderId="2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wrapText="1"/>
    </xf>
    <xf numFmtId="0" fontId="30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jpg"/><Relationship Id="rId7" Type="http://schemas.openxmlformats.org/officeDocument/2006/relationships/image" Target="../media/image9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7" Type="http://schemas.openxmlformats.org/officeDocument/2006/relationships/image" Target="../media/image10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9.pn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openxmlformats.org/officeDocument/2006/relationships/image" Target="../media/image10.pn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6" Type="http://schemas.openxmlformats.org/officeDocument/2006/relationships/image" Target="../media/image9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22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85724</xdr:rowOff>
    </xdr:from>
    <xdr:to>
      <xdr:col>9</xdr:col>
      <xdr:colOff>0</xdr:colOff>
      <xdr:row>42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638674"/>
          <a:ext cx="5334000" cy="3048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14</xdr:row>
      <xdr:rowOff>57150</xdr:rowOff>
    </xdr:from>
    <xdr:to>
      <xdr:col>9</xdr:col>
      <xdr:colOff>200025</xdr:colOff>
      <xdr:row>14</xdr:row>
      <xdr:rowOff>238125</xdr:rowOff>
    </xdr:to>
    <xdr:sp macro="" textlink="">
      <xdr:nvSpPr>
        <xdr:cNvPr id="2" name="Shape 3"/>
        <xdr:cNvSpPr txBox="1"/>
      </xdr:nvSpPr>
      <xdr:spPr>
        <a:xfrm>
          <a:off x="5667375" y="3848100"/>
          <a:ext cx="1809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</a:t>
          </a:r>
          <a:r>
            <a:rPr lang="en-US" sz="1100" b="1" i="0" u="none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𝐕𝐢</a:t>
          </a:r>
          <a:endParaRPr sz="1100" b="1" i="0" u="none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6</xdr:col>
      <xdr:colOff>688184</xdr:colOff>
      <xdr:row>84</xdr:row>
      <xdr:rowOff>107154</xdr:rowOff>
    </xdr:from>
    <xdr:to>
      <xdr:col>7</xdr:col>
      <xdr:colOff>261940</xdr:colOff>
      <xdr:row>84</xdr:row>
      <xdr:rowOff>261935</xdr:rowOff>
    </xdr:to>
    <xdr:sp macro="" textlink="">
      <xdr:nvSpPr>
        <xdr:cNvPr id="3" name="Shape 12"/>
        <xdr:cNvSpPr txBox="1"/>
      </xdr:nvSpPr>
      <xdr:spPr>
        <a:xfrm>
          <a:off x="4193384" y="16318704"/>
          <a:ext cx="288131" cy="15478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0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10</xdr:col>
      <xdr:colOff>295275</xdr:colOff>
      <xdr:row>15</xdr:row>
      <xdr:rowOff>0</xdr:rowOff>
    </xdr:from>
    <xdr:to>
      <xdr:col>10</xdr:col>
      <xdr:colOff>457200</xdr:colOff>
      <xdr:row>15</xdr:row>
      <xdr:rowOff>200025</xdr:rowOff>
    </xdr:to>
    <xdr:sp macro="" textlink="">
      <xdr:nvSpPr>
        <xdr:cNvPr id="4" name="Shape 14"/>
        <xdr:cNvSpPr txBox="1"/>
      </xdr:nvSpPr>
      <xdr:spPr>
        <a:xfrm>
          <a:off x="6657975" y="4067175"/>
          <a:ext cx="1619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1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</xdr:col>
      <xdr:colOff>214313</xdr:colOff>
      <xdr:row>100</xdr:row>
      <xdr:rowOff>176212</xdr:rowOff>
    </xdr:from>
    <xdr:to>
      <xdr:col>5</xdr:col>
      <xdr:colOff>471488</xdr:colOff>
      <xdr:row>105</xdr:row>
      <xdr:rowOff>138112</xdr:rowOff>
    </xdr:to>
    <xdr:pic>
      <xdr:nvPicPr>
        <xdr:cNvPr id="6" name="image15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838" y="19569112"/>
          <a:ext cx="3038475" cy="1581150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295275</xdr:colOff>
      <xdr:row>101</xdr:row>
      <xdr:rowOff>45244</xdr:rowOff>
    </xdr:from>
    <xdr:to>
      <xdr:col>10</xdr:col>
      <xdr:colOff>438150</xdr:colOff>
      <xdr:row>105</xdr:row>
      <xdr:rowOff>197644</xdr:rowOff>
    </xdr:to>
    <xdr:pic>
      <xdr:nvPicPr>
        <xdr:cNvPr id="7" name="image17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00475" y="19628644"/>
          <a:ext cx="3000375" cy="158115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228600</xdr:colOff>
      <xdr:row>109</xdr:row>
      <xdr:rowOff>200025</xdr:rowOff>
    </xdr:from>
    <xdr:to>
      <xdr:col>8</xdr:col>
      <xdr:colOff>476250</xdr:colOff>
      <xdr:row>109</xdr:row>
      <xdr:rowOff>1876425</xdr:rowOff>
    </xdr:to>
    <xdr:pic>
      <xdr:nvPicPr>
        <xdr:cNvPr id="8" name="image18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19425" y="22393275"/>
          <a:ext cx="2390775" cy="1676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257175</xdr:colOff>
      <xdr:row>109</xdr:row>
      <xdr:rowOff>238125</xdr:rowOff>
    </xdr:from>
    <xdr:to>
      <xdr:col>12</xdr:col>
      <xdr:colOff>552450</xdr:colOff>
      <xdr:row>109</xdr:row>
      <xdr:rowOff>1924050</xdr:rowOff>
    </xdr:to>
    <xdr:pic>
      <xdr:nvPicPr>
        <xdr:cNvPr id="9" name="image19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05500" y="22431375"/>
          <a:ext cx="2438400" cy="1685925"/>
        </a:xfrm>
        <a:prstGeom prst="rect">
          <a:avLst/>
        </a:prstGeom>
        <a:noFill/>
      </xdr:spPr>
    </xdr:pic>
    <xdr:clientData fLocksWithSheet="0"/>
  </xdr:twoCellAnchor>
  <xdr:twoCellAnchor>
    <xdr:from>
      <xdr:col>13</xdr:col>
      <xdr:colOff>533400</xdr:colOff>
      <xdr:row>109</xdr:row>
      <xdr:rowOff>161925</xdr:rowOff>
    </xdr:from>
    <xdr:to>
      <xdr:col>15</xdr:col>
      <xdr:colOff>266700</xdr:colOff>
      <xdr:row>109</xdr:row>
      <xdr:rowOff>1771650</xdr:rowOff>
    </xdr:to>
    <xdr:pic>
      <xdr:nvPicPr>
        <xdr:cNvPr id="10" name="image20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039225" y="22355175"/>
          <a:ext cx="1162050" cy="1609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109</xdr:row>
      <xdr:rowOff>142875</xdr:rowOff>
    </xdr:from>
    <xdr:to>
      <xdr:col>4</xdr:col>
      <xdr:colOff>514350</xdr:colOff>
      <xdr:row>109</xdr:row>
      <xdr:rowOff>1838325</xdr:rowOff>
    </xdr:to>
    <xdr:pic>
      <xdr:nvPicPr>
        <xdr:cNvPr id="11" name="image21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38125" y="22336125"/>
          <a:ext cx="2352675" cy="1695450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43637</xdr:rowOff>
    </xdr:from>
    <xdr:to>
      <xdr:col>3</xdr:col>
      <xdr:colOff>400050</xdr:colOff>
      <xdr:row>2</xdr:row>
      <xdr:rowOff>290170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100787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57150</xdr:rowOff>
    </xdr:from>
    <xdr:to>
      <xdr:col>15</xdr:col>
      <xdr:colOff>350543</xdr:colOff>
      <xdr:row>2</xdr:row>
      <xdr:rowOff>266700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1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74809</xdr:colOff>
      <xdr:row>79</xdr:row>
      <xdr:rowOff>42333</xdr:rowOff>
    </xdr:from>
    <xdr:ext cx="210942" cy="15874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94384" y="15396633"/>
          <a:ext cx="210942" cy="158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137583</xdr:colOff>
      <xdr:row>95</xdr:row>
      <xdr:rowOff>116417</xdr:rowOff>
    </xdr:from>
    <xdr:to>
      <xdr:col>5</xdr:col>
      <xdr:colOff>397479</xdr:colOff>
      <xdr:row>101</xdr:row>
      <xdr:rowOff>43167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108" y="18652067"/>
          <a:ext cx="3041196" cy="17936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253999</xdr:colOff>
      <xdr:row>95</xdr:row>
      <xdr:rowOff>158750</xdr:rowOff>
    </xdr:from>
    <xdr:to>
      <xdr:col>10</xdr:col>
      <xdr:colOff>403584</xdr:colOff>
      <xdr:row>101</xdr:row>
      <xdr:rowOff>85500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59199" y="18694400"/>
          <a:ext cx="3007085" cy="17936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613834</xdr:colOff>
      <xdr:row>104</xdr:row>
      <xdr:rowOff>84667</xdr:rowOff>
    </xdr:from>
    <xdr:to>
      <xdr:col>10</xdr:col>
      <xdr:colOff>135167</xdr:colOff>
      <xdr:row>104</xdr:row>
      <xdr:rowOff>1884667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9034" y="21392092"/>
          <a:ext cx="2378833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679167</xdr:colOff>
      <xdr:row>104</xdr:row>
      <xdr:rowOff>107666</xdr:rowOff>
    </xdr:from>
    <xdr:to>
      <xdr:col>15</xdr:col>
      <xdr:colOff>200500</xdr:colOff>
      <xdr:row>104</xdr:row>
      <xdr:rowOff>1907666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56242" y="21415091"/>
          <a:ext cx="2378833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456250</xdr:colOff>
      <xdr:row>104</xdr:row>
      <xdr:rowOff>74082</xdr:rowOff>
    </xdr:from>
    <xdr:to>
      <xdr:col>4</xdr:col>
      <xdr:colOff>420916</xdr:colOff>
      <xdr:row>104</xdr:row>
      <xdr:rowOff>1946082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864658" y="21620799"/>
          <a:ext cx="1872000" cy="1393416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43637</xdr:rowOff>
    </xdr:from>
    <xdr:to>
      <xdr:col>3</xdr:col>
      <xdr:colOff>400050</xdr:colOff>
      <xdr:row>2</xdr:row>
      <xdr:rowOff>318745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100787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57150</xdr:rowOff>
    </xdr:from>
    <xdr:to>
      <xdr:col>15</xdr:col>
      <xdr:colOff>350543</xdr:colOff>
      <xdr:row>2</xdr:row>
      <xdr:rowOff>295275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688644</xdr:colOff>
      <xdr:row>74</xdr:row>
      <xdr:rowOff>82020</xdr:rowOff>
    </xdr:from>
    <xdr:ext cx="216234" cy="156103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93844" y="14579070"/>
          <a:ext cx="216234" cy="1561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76485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255323</xdr:colOff>
      <xdr:row>90</xdr:row>
      <xdr:rowOff>123032</xdr:rowOff>
    </xdr:from>
    <xdr:to>
      <xdr:col>5</xdr:col>
      <xdr:colOff>515219</xdr:colOff>
      <xdr:row>96</xdr:row>
      <xdr:rowOff>306428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64848" y="17801432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272520</xdr:colOff>
      <xdr:row>90</xdr:row>
      <xdr:rowOff>123031</xdr:rowOff>
    </xdr:from>
    <xdr:to>
      <xdr:col>10</xdr:col>
      <xdr:colOff>326855</xdr:colOff>
      <xdr:row>96</xdr:row>
      <xdr:rowOff>306427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77720" y="17801431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620749</xdr:colOff>
      <xdr:row>99</xdr:row>
      <xdr:rowOff>31645</xdr:rowOff>
    </xdr:from>
    <xdr:to>
      <xdr:col>15</xdr:col>
      <xdr:colOff>364065</xdr:colOff>
      <xdr:row>99</xdr:row>
      <xdr:rowOff>1998132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3074" y="20234170"/>
          <a:ext cx="2600816" cy="1966487"/>
        </a:xfrm>
        <a:prstGeom prst="rect">
          <a:avLst/>
        </a:prstGeom>
      </xdr:spPr>
    </xdr:pic>
    <xdr:clientData/>
  </xdr:twoCellAnchor>
  <xdr:twoCellAnchor editAs="oneCell">
    <xdr:from>
      <xdr:col>6</xdr:col>
      <xdr:colOff>664915</xdr:colOff>
      <xdr:row>99</xdr:row>
      <xdr:rowOff>33479</xdr:rowOff>
    </xdr:from>
    <xdr:to>
      <xdr:col>10</xdr:col>
      <xdr:colOff>312981</xdr:colOff>
      <xdr:row>99</xdr:row>
      <xdr:rowOff>1999966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0115" y="20236004"/>
          <a:ext cx="2600816" cy="1966487"/>
        </a:xfrm>
        <a:prstGeom prst="rect">
          <a:avLst/>
        </a:prstGeom>
      </xdr:spPr>
    </xdr:pic>
    <xdr:clientData/>
  </xdr:twoCellAnchor>
  <xdr:twoCellAnchor editAs="oneCell">
    <xdr:from>
      <xdr:col>2</xdr:col>
      <xdr:colOff>522146</xdr:colOff>
      <xdr:row>99</xdr:row>
      <xdr:rowOff>52920</xdr:rowOff>
    </xdr:from>
    <xdr:to>
      <xdr:col>4</xdr:col>
      <xdr:colOff>487750</xdr:colOff>
      <xdr:row>99</xdr:row>
      <xdr:rowOff>1926171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0397" y="20494894"/>
          <a:ext cx="1873251" cy="139435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0006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7867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2299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1146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31731</xdr:rowOff>
    </xdr:from>
    <xdr:to>
      <xdr:col>3</xdr:col>
      <xdr:colOff>400050</xdr:colOff>
      <xdr:row>2</xdr:row>
      <xdr:rowOff>306839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81" y="91262"/>
          <a:ext cx="1500188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57150</xdr:rowOff>
    </xdr:from>
    <xdr:to>
      <xdr:col>15</xdr:col>
      <xdr:colOff>350543</xdr:colOff>
      <xdr:row>2</xdr:row>
      <xdr:rowOff>295275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617207</xdr:colOff>
      <xdr:row>104</xdr:row>
      <xdr:rowOff>93926</xdr:rowOff>
    </xdr:from>
    <xdr:ext cx="25195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22407" y="19734476"/>
          <a:ext cx="25195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122</xdr:row>
      <xdr:rowOff>63500</xdr:rowOff>
    </xdr:from>
    <xdr:to>
      <xdr:col>5</xdr:col>
      <xdr:colOff>408063</xdr:colOff>
      <xdr:row>126</xdr:row>
      <xdr:rowOff>270708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3266400"/>
          <a:ext cx="3041196" cy="180740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122</xdr:row>
      <xdr:rowOff>63500</xdr:rowOff>
    </xdr:from>
    <xdr:to>
      <xdr:col>10</xdr:col>
      <xdr:colOff>445918</xdr:colOff>
      <xdr:row>126</xdr:row>
      <xdr:rowOff>270708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23266400"/>
          <a:ext cx="3007085" cy="180740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98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19825</xdr:rowOff>
    </xdr:from>
    <xdr:to>
      <xdr:col>3</xdr:col>
      <xdr:colOff>400050</xdr:colOff>
      <xdr:row>2</xdr:row>
      <xdr:rowOff>323508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081" y="79356"/>
          <a:ext cx="1500188" cy="6846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45244</xdr:rowOff>
    </xdr:from>
    <xdr:to>
      <xdr:col>15</xdr:col>
      <xdr:colOff>350543</xdr:colOff>
      <xdr:row>2</xdr:row>
      <xdr:rowOff>311944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21985" y="104775"/>
          <a:ext cx="670277" cy="647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3"/>
  <sheetViews>
    <sheetView topLeftCell="A19" workbookViewId="0">
      <selection activeCell="G47" sqref="G4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91" t="s">
        <v>40</v>
      </c>
      <c r="C2" s="191"/>
      <c r="D2" s="191"/>
      <c r="E2" s="191"/>
      <c r="F2" s="191"/>
      <c r="G2" s="191"/>
      <c r="H2" s="191"/>
      <c r="I2" s="191"/>
      <c r="J2" s="191"/>
    </row>
    <row r="3" spans="2:10" ht="6.75" customHeight="1" x14ac:dyDescent="0.25">
      <c r="B3" s="193"/>
      <c r="C3" s="194"/>
      <c r="D3" s="194"/>
      <c r="E3" s="194"/>
      <c r="F3" s="194"/>
      <c r="G3" s="194"/>
      <c r="H3" s="194"/>
      <c r="I3" s="194"/>
      <c r="J3" s="195"/>
    </row>
    <row r="4" spans="2:10" x14ac:dyDescent="0.25">
      <c r="B4" s="196"/>
      <c r="C4" s="192"/>
      <c r="D4" s="192"/>
      <c r="E4" s="192"/>
      <c r="F4" s="192"/>
      <c r="G4" s="192"/>
      <c r="H4" s="192"/>
      <c r="I4" s="192"/>
      <c r="J4" s="198"/>
    </row>
    <row r="5" spans="2:10" x14ac:dyDescent="0.25">
      <c r="B5" s="196"/>
      <c r="C5" s="192"/>
      <c r="D5" s="192"/>
      <c r="E5" s="192"/>
      <c r="F5" s="192"/>
      <c r="G5" s="192"/>
      <c r="H5" s="192"/>
      <c r="I5" s="192"/>
      <c r="J5" s="198"/>
    </row>
    <row r="6" spans="2:10" x14ac:dyDescent="0.25">
      <c r="B6" s="196"/>
      <c r="C6" s="192"/>
      <c r="D6" s="192"/>
      <c r="E6" s="192"/>
      <c r="F6" s="192"/>
      <c r="G6" s="192"/>
      <c r="H6" s="192"/>
      <c r="I6" s="192"/>
      <c r="J6" s="198"/>
    </row>
    <row r="7" spans="2:10" x14ac:dyDescent="0.25">
      <c r="B7" s="196"/>
      <c r="C7" s="192"/>
      <c r="D7" s="192"/>
      <c r="E7" s="192"/>
      <c r="F7" s="192"/>
      <c r="G7" s="192"/>
      <c r="H7" s="192"/>
      <c r="I7" s="192"/>
      <c r="J7" s="198"/>
    </row>
    <row r="8" spans="2:10" x14ac:dyDescent="0.25">
      <c r="B8" s="196"/>
      <c r="C8" s="192"/>
      <c r="D8" s="192"/>
      <c r="E8" s="192"/>
      <c r="F8" s="192"/>
      <c r="G8" s="192"/>
      <c r="H8" s="192"/>
      <c r="I8" s="192"/>
      <c r="J8" s="198"/>
    </row>
    <row r="9" spans="2:10" x14ac:dyDescent="0.25">
      <c r="B9" s="196"/>
      <c r="C9" s="192"/>
      <c r="D9" s="192"/>
      <c r="E9" s="192"/>
      <c r="F9" s="192"/>
      <c r="G9" s="192"/>
      <c r="H9" s="192"/>
      <c r="I9" s="192"/>
      <c r="J9" s="198"/>
    </row>
    <row r="10" spans="2:10" x14ac:dyDescent="0.25">
      <c r="B10" s="196"/>
      <c r="C10" s="192"/>
      <c r="D10" s="192"/>
      <c r="E10" s="192"/>
      <c r="F10" s="192"/>
      <c r="G10" s="192"/>
      <c r="H10" s="192"/>
      <c r="I10" s="192"/>
      <c r="J10" s="198"/>
    </row>
    <row r="11" spans="2:10" x14ac:dyDescent="0.25">
      <c r="B11" s="196"/>
      <c r="C11" s="192"/>
      <c r="D11" s="192"/>
      <c r="E11" s="192"/>
      <c r="F11" s="192"/>
      <c r="G11" s="192"/>
      <c r="H11" s="192"/>
      <c r="I11" s="192"/>
      <c r="J11" s="198"/>
    </row>
    <row r="12" spans="2:10" x14ac:dyDescent="0.25">
      <c r="B12" s="196"/>
      <c r="C12" s="192"/>
      <c r="D12" s="192"/>
      <c r="E12" s="192"/>
      <c r="F12" s="192"/>
      <c r="G12" s="192"/>
      <c r="H12" s="192"/>
      <c r="I12" s="192"/>
      <c r="J12" s="198"/>
    </row>
    <row r="13" spans="2:10" x14ac:dyDescent="0.25">
      <c r="B13" s="196"/>
      <c r="C13" s="192"/>
      <c r="D13" s="192"/>
      <c r="E13" s="192"/>
      <c r="F13" s="192"/>
      <c r="G13" s="192"/>
      <c r="H13" s="192"/>
      <c r="I13" s="192"/>
      <c r="J13" s="198"/>
    </row>
    <row r="14" spans="2:10" x14ac:dyDescent="0.25">
      <c r="B14" s="196"/>
      <c r="C14" s="192"/>
      <c r="D14" s="192"/>
      <c r="E14" s="192"/>
      <c r="F14" s="192"/>
      <c r="G14" s="192"/>
      <c r="H14" s="192"/>
      <c r="I14" s="192"/>
      <c r="J14" s="198"/>
    </row>
    <row r="15" spans="2:10" x14ac:dyDescent="0.25">
      <c r="B15" s="196"/>
      <c r="C15" s="192"/>
      <c r="D15" s="192"/>
      <c r="E15" s="192"/>
      <c r="F15" s="192"/>
      <c r="G15" s="192"/>
      <c r="H15" s="192"/>
      <c r="I15" s="192"/>
      <c r="J15" s="198"/>
    </row>
    <row r="16" spans="2:10" x14ac:dyDescent="0.25">
      <c r="B16" s="196"/>
      <c r="C16" s="192"/>
      <c r="D16" s="192"/>
      <c r="E16" s="192"/>
      <c r="F16" s="192"/>
      <c r="G16" s="192"/>
      <c r="H16" s="192"/>
      <c r="I16" s="192"/>
      <c r="J16" s="198"/>
    </row>
    <row r="17" spans="2:10" x14ac:dyDescent="0.25">
      <c r="B17" s="196"/>
      <c r="C17" s="192"/>
      <c r="D17" s="192"/>
      <c r="E17" s="192"/>
      <c r="F17" s="192"/>
      <c r="G17" s="192"/>
      <c r="H17" s="192"/>
      <c r="I17" s="192"/>
      <c r="J17" s="198"/>
    </row>
    <row r="18" spans="2:10" x14ac:dyDescent="0.25">
      <c r="B18" s="196"/>
      <c r="C18" s="192"/>
      <c r="D18" s="192"/>
      <c r="E18" s="192"/>
      <c r="F18" s="192"/>
      <c r="G18" s="192"/>
      <c r="H18" s="192"/>
      <c r="I18" s="192"/>
      <c r="J18" s="198"/>
    </row>
    <row r="19" spans="2:10" x14ac:dyDescent="0.25">
      <c r="B19" s="196"/>
      <c r="C19" s="192"/>
      <c r="D19" s="192"/>
      <c r="E19" s="192"/>
      <c r="F19" s="192"/>
      <c r="G19" s="192"/>
      <c r="H19" s="192"/>
      <c r="I19" s="192"/>
      <c r="J19" s="198"/>
    </row>
    <row r="20" spans="2:10" x14ac:dyDescent="0.25">
      <c r="B20" s="196"/>
      <c r="C20" s="192"/>
      <c r="D20" s="192"/>
      <c r="E20" s="192"/>
      <c r="F20" s="192"/>
      <c r="G20" s="192"/>
      <c r="H20" s="192"/>
      <c r="I20" s="192"/>
      <c r="J20" s="198"/>
    </row>
    <row r="21" spans="2:10" x14ac:dyDescent="0.25">
      <c r="B21" s="196"/>
      <c r="C21" s="192"/>
      <c r="D21" s="192"/>
      <c r="E21" s="192"/>
      <c r="F21" s="192"/>
      <c r="G21" s="192"/>
      <c r="H21" s="192"/>
      <c r="I21" s="192"/>
      <c r="J21" s="198"/>
    </row>
    <row r="22" spans="2:10" x14ac:dyDescent="0.25">
      <c r="B22" s="196"/>
      <c r="C22" s="192"/>
      <c r="D22" s="192"/>
      <c r="E22" s="192"/>
      <c r="F22" s="192"/>
      <c r="G22" s="192"/>
      <c r="H22" s="192"/>
      <c r="I22" s="192"/>
      <c r="J22" s="198"/>
    </row>
    <row r="23" spans="2:10" ht="6.75" customHeight="1" x14ac:dyDescent="0.25">
      <c r="B23" s="197"/>
      <c r="C23" s="200"/>
      <c r="D23" s="200"/>
      <c r="E23" s="200"/>
      <c r="F23" s="200"/>
      <c r="G23" s="200"/>
      <c r="H23" s="200"/>
      <c r="I23" s="200"/>
      <c r="J23" s="199"/>
    </row>
    <row r="24" spans="2:10" x14ac:dyDescent="0.25">
      <c r="B24" s="1"/>
      <c r="C24" s="1"/>
      <c r="D24" s="1"/>
      <c r="E24" s="1"/>
      <c r="F24" s="1"/>
      <c r="G24" s="1"/>
      <c r="H24" s="1"/>
      <c r="I24" s="1"/>
    </row>
    <row r="25" spans="2:10" x14ac:dyDescent="0.25">
      <c r="B25" s="191" t="s">
        <v>41</v>
      </c>
      <c r="C25" s="191"/>
      <c r="D25" s="191"/>
      <c r="E25" s="191"/>
      <c r="F25" s="191"/>
      <c r="G25" s="191"/>
      <c r="H25" s="191"/>
      <c r="I25" s="191"/>
      <c r="J25" s="191"/>
    </row>
    <row r="26" spans="2:10" ht="6.75" customHeight="1" x14ac:dyDescent="0.25">
      <c r="B26" s="193"/>
      <c r="C26" s="194"/>
      <c r="D26" s="194"/>
      <c r="E26" s="194"/>
      <c r="F26" s="194"/>
      <c r="G26" s="194"/>
      <c r="H26" s="194"/>
      <c r="I26" s="194"/>
      <c r="J26" s="195"/>
    </row>
    <row r="27" spans="2:10" x14ac:dyDescent="0.25">
      <c r="B27" s="196"/>
      <c r="C27" s="192"/>
      <c r="D27" s="192"/>
      <c r="E27" s="192"/>
      <c r="F27" s="192"/>
      <c r="G27" s="192"/>
      <c r="H27" s="192"/>
      <c r="I27" s="192"/>
      <c r="J27" s="198"/>
    </row>
    <row r="28" spans="2:10" x14ac:dyDescent="0.25">
      <c r="B28" s="196"/>
      <c r="C28" s="192"/>
      <c r="D28" s="192"/>
      <c r="E28" s="192"/>
      <c r="F28" s="192"/>
      <c r="G28" s="192"/>
      <c r="H28" s="192"/>
      <c r="I28" s="192"/>
      <c r="J28" s="198"/>
    </row>
    <row r="29" spans="2:10" x14ac:dyDescent="0.25">
      <c r="B29" s="196"/>
      <c r="C29" s="192"/>
      <c r="D29" s="192"/>
      <c r="E29" s="192"/>
      <c r="F29" s="192"/>
      <c r="G29" s="192"/>
      <c r="H29" s="192"/>
      <c r="I29" s="192"/>
      <c r="J29" s="198"/>
    </row>
    <row r="30" spans="2:10" x14ac:dyDescent="0.25">
      <c r="B30" s="196"/>
      <c r="C30" s="192"/>
      <c r="D30" s="192"/>
      <c r="E30" s="192"/>
      <c r="F30" s="192"/>
      <c r="G30" s="192"/>
      <c r="H30" s="192"/>
      <c r="I30" s="192"/>
      <c r="J30" s="198"/>
    </row>
    <row r="31" spans="2:10" x14ac:dyDescent="0.25">
      <c r="B31" s="196"/>
      <c r="C31" s="192"/>
      <c r="D31" s="192"/>
      <c r="E31" s="192"/>
      <c r="F31" s="192"/>
      <c r="G31" s="192"/>
      <c r="H31" s="192"/>
      <c r="I31" s="192"/>
      <c r="J31" s="198"/>
    </row>
    <row r="32" spans="2:10" x14ac:dyDescent="0.25">
      <c r="B32" s="196"/>
      <c r="C32" s="192"/>
      <c r="D32" s="192"/>
      <c r="E32" s="192"/>
      <c r="F32" s="192"/>
      <c r="G32" s="192"/>
      <c r="H32" s="192"/>
      <c r="I32" s="192"/>
      <c r="J32" s="198"/>
    </row>
    <row r="33" spans="2:10" x14ac:dyDescent="0.25">
      <c r="B33" s="196"/>
      <c r="C33" s="192"/>
      <c r="D33" s="192"/>
      <c r="E33" s="192"/>
      <c r="F33" s="192"/>
      <c r="G33" s="192"/>
      <c r="H33" s="192"/>
      <c r="I33" s="192"/>
      <c r="J33" s="198"/>
    </row>
    <row r="34" spans="2:10" x14ac:dyDescent="0.25">
      <c r="B34" s="196"/>
      <c r="C34" s="192"/>
      <c r="D34" s="192"/>
      <c r="E34" s="192"/>
      <c r="F34" s="192"/>
      <c r="G34" s="192"/>
      <c r="H34" s="192"/>
      <c r="I34" s="192"/>
      <c r="J34" s="198"/>
    </row>
    <row r="35" spans="2:10" x14ac:dyDescent="0.25">
      <c r="B35" s="196"/>
      <c r="C35" s="192"/>
      <c r="D35" s="192"/>
      <c r="E35" s="192"/>
      <c r="F35" s="192"/>
      <c r="G35" s="192"/>
      <c r="H35" s="192"/>
      <c r="I35" s="192"/>
      <c r="J35" s="198"/>
    </row>
    <row r="36" spans="2:10" x14ac:dyDescent="0.25">
      <c r="B36" s="196"/>
      <c r="C36" s="192"/>
      <c r="D36" s="192"/>
      <c r="E36" s="192"/>
      <c r="F36" s="192"/>
      <c r="G36" s="192"/>
      <c r="H36" s="192"/>
      <c r="I36" s="192"/>
      <c r="J36" s="198"/>
    </row>
    <row r="37" spans="2:10" x14ac:dyDescent="0.25">
      <c r="B37" s="196"/>
      <c r="C37" s="192"/>
      <c r="D37" s="192"/>
      <c r="E37" s="192"/>
      <c r="F37" s="192"/>
      <c r="G37" s="192"/>
      <c r="H37" s="192"/>
      <c r="I37" s="192"/>
      <c r="J37" s="198"/>
    </row>
    <row r="38" spans="2:10" x14ac:dyDescent="0.25">
      <c r="B38" s="196"/>
      <c r="C38" s="192"/>
      <c r="D38" s="192"/>
      <c r="E38" s="192"/>
      <c r="F38" s="192"/>
      <c r="G38" s="192"/>
      <c r="H38" s="192"/>
      <c r="I38" s="192"/>
      <c r="J38" s="198"/>
    </row>
    <row r="39" spans="2:10" x14ac:dyDescent="0.25">
      <c r="B39" s="196"/>
      <c r="C39" s="192"/>
      <c r="D39" s="192"/>
      <c r="E39" s="192"/>
      <c r="F39" s="192"/>
      <c r="G39" s="192"/>
      <c r="H39" s="192"/>
      <c r="I39" s="192"/>
      <c r="J39" s="198"/>
    </row>
    <row r="40" spans="2:10" x14ac:dyDescent="0.25">
      <c r="B40" s="196"/>
      <c r="C40" s="192"/>
      <c r="D40" s="192"/>
      <c r="E40" s="192"/>
      <c r="F40" s="192"/>
      <c r="G40" s="192"/>
      <c r="H40" s="192"/>
      <c r="I40" s="192"/>
      <c r="J40" s="198"/>
    </row>
    <row r="41" spans="2:10" x14ac:dyDescent="0.25">
      <c r="B41" s="196"/>
      <c r="C41" s="192"/>
      <c r="D41" s="192"/>
      <c r="E41" s="192"/>
      <c r="F41" s="192"/>
      <c r="G41" s="192"/>
      <c r="H41" s="192"/>
      <c r="I41" s="192"/>
      <c r="J41" s="198"/>
    </row>
    <row r="42" spans="2:10" x14ac:dyDescent="0.25">
      <c r="B42" s="196"/>
      <c r="C42" s="192"/>
      <c r="D42" s="192"/>
      <c r="E42" s="192"/>
      <c r="F42" s="192"/>
      <c r="G42" s="192"/>
      <c r="H42" s="192"/>
      <c r="I42" s="192"/>
      <c r="J42" s="198"/>
    </row>
    <row r="43" spans="2:10" ht="6.75" customHeight="1" x14ac:dyDescent="0.25">
      <c r="B43" s="197"/>
      <c r="C43" s="200"/>
      <c r="D43" s="200"/>
      <c r="E43" s="200"/>
      <c r="F43" s="200"/>
      <c r="G43" s="200"/>
      <c r="H43" s="200"/>
      <c r="I43" s="200"/>
      <c r="J43" s="199"/>
    </row>
  </sheetData>
  <mergeCells count="12">
    <mergeCell ref="B25:J25"/>
    <mergeCell ref="B26:J26"/>
    <mergeCell ref="B27:B43"/>
    <mergeCell ref="C27:I42"/>
    <mergeCell ref="J27:J43"/>
    <mergeCell ref="C43:I43"/>
    <mergeCell ref="B2:J2"/>
    <mergeCell ref="C4:I22"/>
    <mergeCell ref="B3:J3"/>
    <mergeCell ref="B4:B23"/>
    <mergeCell ref="J4:J23"/>
    <mergeCell ref="C23: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tabSelected="1" zoomScaleNormal="100" workbookViewId="0">
      <selection activeCell="H5" sqref="H5:P5"/>
    </sheetView>
  </sheetViews>
  <sheetFormatPr baseColWidth="10" defaultColWidth="14.42578125" defaultRowHeight="15" customHeight="1" x14ac:dyDescent="0.25"/>
  <cols>
    <col min="1" max="1" width="0.140625" style="17" customWidth="1"/>
    <col min="2" max="2" width="9.5703125" style="17" customWidth="1"/>
    <col min="3" max="16" width="10.7109375" style="17" customWidth="1"/>
    <col min="17" max="20" width="11.42578125" style="17" customWidth="1"/>
    <col min="21" max="16384" width="14.42578125" style="17"/>
  </cols>
  <sheetData>
    <row r="1" spans="1:26" ht="4.5" customHeight="1" thickBot="1" x14ac:dyDescent="0.3">
      <c r="J1" s="18"/>
    </row>
    <row r="2" spans="1:26" s="2" customFormat="1" ht="30" customHeight="1" x14ac:dyDescent="0.25">
      <c r="A2" s="585"/>
      <c r="B2" s="586"/>
      <c r="C2" s="587"/>
      <c r="D2" s="588"/>
      <c r="E2" s="589" t="s">
        <v>146</v>
      </c>
      <c r="F2" s="590"/>
      <c r="G2" s="590"/>
      <c r="H2" s="590"/>
      <c r="I2" s="590"/>
      <c r="J2" s="590"/>
      <c r="K2" s="590"/>
      <c r="L2" s="590"/>
      <c r="M2" s="590"/>
      <c r="N2" s="590"/>
      <c r="O2" s="591"/>
      <c r="P2" s="592"/>
    </row>
    <row r="3" spans="1:26" s="2" customFormat="1" ht="26.25" customHeight="1" thickBot="1" x14ac:dyDescent="0.3">
      <c r="A3" s="585"/>
      <c r="B3" s="593"/>
      <c r="C3" s="594"/>
      <c r="D3" s="595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8"/>
      <c r="P3" s="599"/>
    </row>
    <row r="4" spans="1:26" ht="11.25" customHeight="1" thickBot="1" x14ac:dyDescent="0.3">
      <c r="A4" s="19"/>
      <c r="B4" s="381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31.5" customHeight="1" thickBot="1" x14ac:dyDescent="0.3">
      <c r="A5" s="19"/>
      <c r="B5" s="21" t="s">
        <v>0</v>
      </c>
      <c r="C5" s="382">
        <v>43045</v>
      </c>
      <c r="D5" s="383"/>
      <c r="E5" s="22" t="s">
        <v>1</v>
      </c>
      <c r="F5" s="23">
        <v>1</v>
      </c>
      <c r="G5" s="24" t="s">
        <v>2</v>
      </c>
      <c r="H5" s="573" t="s">
        <v>147</v>
      </c>
      <c r="I5" s="574"/>
      <c r="J5" s="574"/>
      <c r="K5" s="574"/>
      <c r="L5" s="574"/>
      <c r="M5" s="574"/>
      <c r="N5" s="574"/>
      <c r="O5" s="574"/>
      <c r="P5" s="575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29" customFormat="1" ht="21.75" customHeight="1" thickBot="1" x14ac:dyDescent="0.3">
      <c r="A6" s="25"/>
      <c r="B6" s="365" t="s">
        <v>3</v>
      </c>
      <c r="C6" s="366"/>
      <c r="D6" s="367" t="s">
        <v>56</v>
      </c>
      <c r="E6" s="368"/>
      <c r="F6" s="368"/>
      <c r="G6" s="368"/>
      <c r="H6" s="368"/>
      <c r="I6" s="369"/>
      <c r="J6" s="26" t="s">
        <v>4</v>
      </c>
      <c r="K6" s="370" t="s">
        <v>57</v>
      </c>
      <c r="L6" s="369"/>
      <c r="M6" s="370" t="s">
        <v>58</v>
      </c>
      <c r="N6" s="371"/>
      <c r="O6" s="27" t="s">
        <v>59</v>
      </c>
      <c r="P6" s="28">
        <v>1110</v>
      </c>
    </row>
    <row r="7" spans="1:26" ht="21.75" customHeight="1" x14ac:dyDescent="0.25">
      <c r="B7" s="372" t="s">
        <v>60</v>
      </c>
      <c r="C7" s="373" t="s">
        <v>61</v>
      </c>
      <c r="D7" s="343"/>
      <c r="E7" s="30"/>
      <c r="F7" s="374" t="s">
        <v>62</v>
      </c>
      <c r="G7" s="375"/>
      <c r="H7" s="375"/>
      <c r="I7" s="375"/>
      <c r="J7" s="376" t="s">
        <v>63</v>
      </c>
      <c r="K7" s="377"/>
      <c r="L7" s="377"/>
      <c r="M7" s="378"/>
      <c r="N7" s="379" t="s">
        <v>64</v>
      </c>
      <c r="O7" s="380"/>
      <c r="P7" s="31" t="s">
        <v>65</v>
      </c>
    </row>
    <row r="8" spans="1:26" ht="21.75" customHeight="1" thickBot="1" x14ac:dyDescent="0.3">
      <c r="B8" s="317"/>
      <c r="C8" s="334" t="s">
        <v>66</v>
      </c>
      <c r="D8" s="333"/>
      <c r="E8" s="32" t="s">
        <v>5</v>
      </c>
      <c r="F8" s="344" t="s">
        <v>6</v>
      </c>
      <c r="G8" s="345"/>
      <c r="H8" s="345"/>
      <c r="I8" s="345"/>
      <c r="J8" s="346"/>
      <c r="K8" s="347"/>
      <c r="L8" s="347"/>
      <c r="M8" s="348"/>
      <c r="N8" s="349"/>
      <c r="O8" s="350"/>
      <c r="P8" s="33"/>
    </row>
    <row r="9" spans="1:26" ht="21.75" customHeight="1" x14ac:dyDescent="0.25">
      <c r="B9" s="351" t="s">
        <v>7</v>
      </c>
      <c r="C9" s="354" t="s">
        <v>67</v>
      </c>
      <c r="D9" s="355" t="s">
        <v>68</v>
      </c>
      <c r="E9" s="340"/>
      <c r="F9" s="34"/>
      <c r="G9" s="356" t="s">
        <v>8</v>
      </c>
      <c r="H9" s="357" t="s">
        <v>9</v>
      </c>
      <c r="I9" s="343"/>
      <c r="J9" s="35"/>
      <c r="K9" s="354" t="s">
        <v>69</v>
      </c>
      <c r="L9" s="358" t="s">
        <v>70</v>
      </c>
      <c r="M9" s="359"/>
      <c r="N9" s="360"/>
      <c r="O9" s="360"/>
      <c r="P9" s="361"/>
    </row>
    <row r="10" spans="1:26" ht="21.75" customHeight="1" thickBot="1" x14ac:dyDescent="0.3">
      <c r="B10" s="352"/>
      <c r="C10" s="300"/>
      <c r="D10" s="338" t="s">
        <v>71</v>
      </c>
      <c r="E10" s="333"/>
      <c r="F10" s="36" t="s">
        <v>5</v>
      </c>
      <c r="G10" s="300"/>
      <c r="H10" s="338" t="s">
        <v>10</v>
      </c>
      <c r="I10" s="333"/>
      <c r="J10" s="37" t="s">
        <v>5</v>
      </c>
      <c r="K10" s="300"/>
      <c r="L10" s="362"/>
      <c r="M10" s="363"/>
      <c r="N10" s="363"/>
      <c r="O10" s="363"/>
      <c r="P10" s="364"/>
    </row>
    <row r="11" spans="1:26" ht="21.75" customHeight="1" x14ac:dyDescent="0.25">
      <c r="A11" s="19"/>
      <c r="B11" s="352"/>
      <c r="C11" s="339" t="s">
        <v>11</v>
      </c>
      <c r="D11" s="340"/>
      <c r="E11" s="38">
        <v>0.48680555555555555</v>
      </c>
      <c r="F11" s="341" t="s">
        <v>12</v>
      </c>
      <c r="G11" s="340"/>
      <c r="H11" s="39">
        <v>1.42</v>
      </c>
      <c r="I11" s="342" t="s">
        <v>13</v>
      </c>
      <c r="J11" s="343"/>
      <c r="K11" s="39">
        <v>17</v>
      </c>
      <c r="L11" s="339" t="s">
        <v>14</v>
      </c>
      <c r="M11" s="340"/>
      <c r="N11" s="40">
        <v>6.7</v>
      </c>
      <c r="O11" s="330" t="s">
        <v>72</v>
      </c>
      <c r="P11" s="331"/>
    </row>
    <row r="12" spans="1:26" ht="21.75" customHeight="1" thickBot="1" x14ac:dyDescent="0.3">
      <c r="A12" s="19"/>
      <c r="B12" s="353"/>
      <c r="C12" s="332" t="s">
        <v>15</v>
      </c>
      <c r="D12" s="333"/>
      <c r="E12" s="38">
        <v>0.52916666666666667</v>
      </c>
      <c r="F12" s="334" t="s">
        <v>16</v>
      </c>
      <c r="G12" s="333"/>
      <c r="H12" s="39">
        <v>1.43</v>
      </c>
      <c r="I12" s="335" t="s">
        <v>17</v>
      </c>
      <c r="J12" s="333"/>
      <c r="K12" s="38">
        <v>0.47916666666666669</v>
      </c>
      <c r="L12" s="332" t="s">
        <v>18</v>
      </c>
      <c r="M12" s="333"/>
      <c r="N12" s="41">
        <v>0.6</v>
      </c>
      <c r="O12" s="336">
        <v>3.92</v>
      </c>
      <c r="P12" s="337"/>
    </row>
    <row r="13" spans="1:26" ht="21.75" customHeight="1" x14ac:dyDescent="0.25">
      <c r="A13" s="19"/>
      <c r="B13" s="315" t="s">
        <v>19</v>
      </c>
      <c r="C13" s="318" t="s">
        <v>73</v>
      </c>
      <c r="D13" s="319"/>
      <c r="E13" s="319"/>
      <c r="F13" s="320" t="s">
        <v>74</v>
      </c>
      <c r="G13" s="319"/>
      <c r="H13" s="319"/>
      <c r="I13" s="319"/>
      <c r="J13" s="320" t="s">
        <v>75</v>
      </c>
      <c r="K13" s="319"/>
      <c r="L13" s="319"/>
      <c r="M13" s="319"/>
      <c r="N13" s="321" t="s">
        <v>76</v>
      </c>
      <c r="O13" s="319"/>
      <c r="P13" s="322"/>
      <c r="Q13" s="42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1.75" customHeight="1" x14ac:dyDescent="0.25">
      <c r="A14" s="19"/>
      <c r="B14" s="316"/>
      <c r="C14" s="323" t="s">
        <v>77</v>
      </c>
      <c r="D14" s="324"/>
      <c r="E14" s="324"/>
      <c r="F14" s="325" t="s">
        <v>78</v>
      </c>
      <c r="G14" s="324"/>
      <c r="H14" s="324"/>
      <c r="I14" s="324"/>
      <c r="J14" s="326" t="s">
        <v>79</v>
      </c>
      <c r="K14" s="324"/>
      <c r="L14" s="324"/>
      <c r="M14" s="324"/>
      <c r="N14" s="327"/>
      <c r="O14" s="312"/>
      <c r="P14" s="32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1.75" customHeight="1" thickBot="1" x14ac:dyDescent="0.3">
      <c r="A15" s="19"/>
      <c r="B15" s="317"/>
      <c r="C15" s="329" t="s">
        <v>80</v>
      </c>
      <c r="D15" s="302"/>
      <c r="E15" s="302"/>
      <c r="F15" s="302" t="s">
        <v>81</v>
      </c>
      <c r="G15" s="303"/>
      <c r="H15" s="303"/>
      <c r="I15" s="303"/>
      <c r="J15" s="302" t="s">
        <v>82</v>
      </c>
      <c r="K15" s="303"/>
      <c r="L15" s="303"/>
      <c r="M15" s="303"/>
      <c r="N15" s="304"/>
      <c r="O15" s="202"/>
      <c r="P15" s="21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1.75" customHeight="1" x14ac:dyDescent="0.25">
      <c r="A16" s="19"/>
      <c r="B16" s="305" t="s">
        <v>20</v>
      </c>
      <c r="C16" s="307" t="s">
        <v>21</v>
      </c>
      <c r="D16" s="307" t="s">
        <v>83</v>
      </c>
      <c r="E16" s="309" t="s">
        <v>22</v>
      </c>
      <c r="F16" s="310" t="s">
        <v>84</v>
      </c>
      <c r="G16" s="204"/>
      <c r="H16" s="307" t="s">
        <v>85</v>
      </c>
      <c r="I16" s="313" t="s">
        <v>86</v>
      </c>
      <c r="J16" s="43" t="s">
        <v>87</v>
      </c>
      <c r="K16" s="44"/>
      <c r="L16" s="45" t="s">
        <v>88</v>
      </c>
      <c r="M16" s="45" t="s">
        <v>89</v>
      </c>
      <c r="N16" s="45" t="s">
        <v>89</v>
      </c>
      <c r="O16" s="45" t="s">
        <v>90</v>
      </c>
      <c r="P16" s="46" t="s">
        <v>23</v>
      </c>
    </row>
    <row r="17" spans="1:26" ht="21.75" customHeight="1" thickBot="1" x14ac:dyDescent="0.3">
      <c r="A17" s="47"/>
      <c r="B17" s="306"/>
      <c r="C17" s="308"/>
      <c r="D17" s="308"/>
      <c r="E17" s="308"/>
      <c r="F17" s="311"/>
      <c r="G17" s="312"/>
      <c r="H17" s="308"/>
      <c r="I17" s="314"/>
      <c r="J17" s="48" t="s">
        <v>24</v>
      </c>
      <c r="K17" s="49" t="s">
        <v>25</v>
      </c>
      <c r="L17" s="49" t="s">
        <v>91</v>
      </c>
      <c r="M17" s="49" t="s">
        <v>92</v>
      </c>
      <c r="N17" s="49" t="s">
        <v>26</v>
      </c>
      <c r="O17" s="49" t="s">
        <v>27</v>
      </c>
      <c r="P17" s="50" t="s">
        <v>28</v>
      </c>
    </row>
    <row r="18" spans="1:26" s="61" customFormat="1" ht="21.75" customHeight="1" thickBot="1" x14ac:dyDescent="0.3">
      <c r="A18" s="51"/>
      <c r="B18" s="52"/>
      <c r="C18" s="53">
        <f>+O12</f>
        <v>3.92</v>
      </c>
      <c r="D18" s="53">
        <v>0</v>
      </c>
      <c r="E18" s="54"/>
      <c r="F18" s="55"/>
      <c r="G18" s="56"/>
      <c r="H18" s="57"/>
      <c r="I18" s="58"/>
      <c r="J18" s="59"/>
      <c r="K18" s="54"/>
      <c r="L18" s="54"/>
      <c r="M18" s="54"/>
      <c r="N18" s="54"/>
      <c r="O18" s="54"/>
      <c r="P18" s="6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s="61" customFormat="1" ht="13.5" customHeight="1" x14ac:dyDescent="0.25">
      <c r="A19" s="51"/>
      <c r="B19" s="298">
        <v>1</v>
      </c>
      <c r="C19" s="301">
        <f>+C18+$N$12</f>
        <v>4.5199999999999996</v>
      </c>
      <c r="D19" s="278">
        <v>0.19</v>
      </c>
      <c r="E19" s="278">
        <v>8.5000000000000006E-2</v>
      </c>
      <c r="F19" s="62" t="s">
        <v>93</v>
      </c>
      <c r="G19" s="63">
        <v>0</v>
      </c>
      <c r="H19" s="64"/>
      <c r="I19" s="65"/>
      <c r="J19" s="66">
        <v>0.186</v>
      </c>
      <c r="K19" s="278">
        <f>+IF(E19&lt;=0.12,(J21),(IF(E19&lt;0.16,((J20+2*J21+J22)/4),IF(E19&gt;=0.16,((J19+3*J20+2*J21+3*J22+J23)/10)))))</f>
        <v>0.22800000000000001</v>
      </c>
      <c r="L19" s="278">
        <f>ROUND(+(D18+D19)/2*(C19-C18),3)</f>
        <v>5.7000000000000002E-2</v>
      </c>
      <c r="M19" s="278">
        <f>ROUND(+K19*L19,4)</f>
        <v>1.2999999999999999E-2</v>
      </c>
      <c r="N19" s="281">
        <f>ROUND(+M19/$M$98*100,2)</f>
        <v>1.44</v>
      </c>
      <c r="O19" s="282"/>
      <c r="P19" s="283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s="61" customFormat="1" ht="13.5" customHeight="1" x14ac:dyDescent="0.25">
      <c r="A20" s="51"/>
      <c r="B20" s="299"/>
      <c r="C20" s="279"/>
      <c r="D20" s="279"/>
      <c r="E20" s="279"/>
      <c r="F20" s="67" t="s">
        <v>94</v>
      </c>
      <c r="G20" s="68" t="str">
        <f>IF(E19&lt;0.125,"NA",IF(0.125&lt;=E19,(0.2*E19)))</f>
        <v>NA</v>
      </c>
      <c r="H20" s="69"/>
      <c r="I20" s="70"/>
      <c r="J20" s="71"/>
      <c r="K20" s="279"/>
      <c r="L20" s="279"/>
      <c r="M20" s="279"/>
      <c r="N20" s="279"/>
      <c r="O20" s="279"/>
      <c r="P20" s="284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s="61" customFormat="1" ht="13.5" customHeight="1" x14ac:dyDescent="0.25">
      <c r="A21" s="51"/>
      <c r="B21" s="299"/>
      <c r="C21" s="279"/>
      <c r="D21" s="279"/>
      <c r="E21" s="279"/>
      <c r="F21" s="67" t="s">
        <v>95</v>
      </c>
      <c r="G21" s="68">
        <f>+E19*0.4</f>
        <v>3.4000000000000002E-2</v>
      </c>
      <c r="H21" s="69"/>
      <c r="I21" s="70"/>
      <c r="J21" s="71">
        <v>0.22800000000000001</v>
      </c>
      <c r="K21" s="279"/>
      <c r="L21" s="279"/>
      <c r="M21" s="279"/>
      <c r="N21" s="279"/>
      <c r="O21" s="279"/>
      <c r="P21" s="284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s="61" customFormat="1" ht="13.5" customHeight="1" x14ac:dyDescent="0.25">
      <c r="A22" s="51"/>
      <c r="B22" s="299"/>
      <c r="C22" s="279"/>
      <c r="D22" s="279"/>
      <c r="E22" s="279"/>
      <c r="F22" s="67" t="s">
        <v>96</v>
      </c>
      <c r="G22" s="68" t="str">
        <f>IF(E19&lt;0.125,"NA",IF(0.125&lt;=E19,(0.8*E19)))</f>
        <v>NA</v>
      </c>
      <c r="H22" s="69"/>
      <c r="I22" s="70"/>
      <c r="J22" s="71"/>
      <c r="K22" s="279"/>
      <c r="L22" s="279"/>
      <c r="M22" s="279"/>
      <c r="N22" s="279"/>
      <c r="O22" s="279"/>
      <c r="P22" s="284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s="61" customFormat="1" ht="13.5" customHeight="1" thickBot="1" x14ac:dyDescent="0.3">
      <c r="A23" s="51"/>
      <c r="B23" s="300"/>
      <c r="C23" s="280"/>
      <c r="D23" s="280"/>
      <c r="E23" s="280"/>
      <c r="F23" s="72" t="s">
        <v>97</v>
      </c>
      <c r="G23" s="73">
        <f>+E19</f>
        <v>8.5000000000000006E-2</v>
      </c>
      <c r="H23" s="74"/>
      <c r="I23" s="75"/>
      <c r="J23" s="76">
        <v>0.252</v>
      </c>
      <c r="K23" s="280"/>
      <c r="L23" s="280"/>
      <c r="M23" s="280"/>
      <c r="N23" s="280"/>
      <c r="O23" s="280"/>
      <c r="P23" s="285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s="61" customFormat="1" ht="13.5" customHeight="1" x14ac:dyDescent="0.25">
      <c r="A24" s="51"/>
      <c r="B24" s="298">
        <v>2</v>
      </c>
      <c r="C24" s="301">
        <f>+C19+$N$12</f>
        <v>5.1199999999999992</v>
      </c>
      <c r="D24" s="278">
        <v>0.371</v>
      </c>
      <c r="E24" s="278">
        <v>0.28199999999999997</v>
      </c>
      <c r="F24" s="62" t="s">
        <v>93</v>
      </c>
      <c r="G24" s="63">
        <v>0</v>
      </c>
      <c r="H24" s="64"/>
      <c r="I24" s="65"/>
      <c r="J24" s="66">
        <v>0.20399999999999999</v>
      </c>
      <c r="K24" s="278">
        <f>+IF(E24&lt;=0.12,(J26),(IF(E24&lt;0.16,((J25+2*J26+J27)/4),IF(E24&gt;=0.16,((J24+3*J25+2*J26+3*J27+J28)/10)))))</f>
        <v>0.32419999999999999</v>
      </c>
      <c r="L24" s="278">
        <f>ROUND(+(D19+D24)/2*(C24-C19),3)</f>
        <v>0.16800000000000001</v>
      </c>
      <c r="M24" s="278">
        <f>ROUND(+K24*L24,4)</f>
        <v>5.45E-2</v>
      </c>
      <c r="N24" s="281">
        <f>ROUND(+M24/$M$98*100,2)</f>
        <v>6.03</v>
      </c>
      <c r="O24" s="282"/>
      <c r="P24" s="283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s="61" customFormat="1" ht="13.5" customHeight="1" x14ac:dyDescent="0.25">
      <c r="A25" s="51"/>
      <c r="B25" s="299"/>
      <c r="C25" s="279"/>
      <c r="D25" s="279"/>
      <c r="E25" s="279"/>
      <c r="F25" s="67" t="s">
        <v>94</v>
      </c>
      <c r="G25" s="68">
        <f>IF(E24&lt;0.125,"NA",IF(0.125&lt;=E24,(0.2*E24)))</f>
        <v>5.6399999999999999E-2</v>
      </c>
      <c r="H25" s="69"/>
      <c r="I25" s="70"/>
      <c r="J25" s="71">
        <v>0.29599999999999999</v>
      </c>
      <c r="K25" s="279"/>
      <c r="L25" s="279"/>
      <c r="M25" s="279"/>
      <c r="N25" s="279"/>
      <c r="O25" s="279"/>
      <c r="P25" s="284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s="61" customFormat="1" ht="13.5" customHeight="1" x14ac:dyDescent="0.25">
      <c r="A26" s="51"/>
      <c r="B26" s="299"/>
      <c r="C26" s="279"/>
      <c r="D26" s="279"/>
      <c r="E26" s="279"/>
      <c r="F26" s="67" t="s">
        <v>95</v>
      </c>
      <c r="G26" s="68">
        <f>+E24*0.4</f>
        <v>0.1128</v>
      </c>
      <c r="H26" s="69"/>
      <c r="I26" s="70"/>
      <c r="J26" s="71">
        <v>0.36399999999999999</v>
      </c>
      <c r="K26" s="279"/>
      <c r="L26" s="279"/>
      <c r="M26" s="279"/>
      <c r="N26" s="279"/>
      <c r="O26" s="279"/>
      <c r="P26" s="284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s="61" customFormat="1" ht="13.5" customHeight="1" x14ac:dyDescent="0.25">
      <c r="A27" s="51"/>
      <c r="B27" s="299"/>
      <c r="C27" s="279"/>
      <c r="D27" s="279"/>
      <c r="E27" s="279"/>
      <c r="F27" s="67" t="s">
        <v>96</v>
      </c>
      <c r="G27" s="68">
        <f>IF(E24&lt;0.125,"NA",IF(0.125&lt;=E24,(0.8*E24)))</f>
        <v>0.22559999999999999</v>
      </c>
      <c r="H27" s="69"/>
      <c r="I27" s="70"/>
      <c r="J27" s="71">
        <v>0.35099999999999998</v>
      </c>
      <c r="K27" s="279"/>
      <c r="L27" s="279"/>
      <c r="M27" s="279"/>
      <c r="N27" s="279"/>
      <c r="O27" s="279"/>
      <c r="P27" s="284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s="61" customFormat="1" ht="13.5" customHeight="1" thickBot="1" x14ac:dyDescent="0.3">
      <c r="A28" s="51"/>
      <c r="B28" s="300"/>
      <c r="C28" s="280"/>
      <c r="D28" s="280"/>
      <c r="E28" s="280"/>
      <c r="F28" s="72" t="s">
        <v>97</v>
      </c>
      <c r="G28" s="73">
        <f>+E24</f>
        <v>0.28199999999999997</v>
      </c>
      <c r="H28" s="74"/>
      <c r="I28" s="75"/>
      <c r="J28" s="76">
        <v>0.36899999999999999</v>
      </c>
      <c r="K28" s="280"/>
      <c r="L28" s="280"/>
      <c r="M28" s="280"/>
      <c r="N28" s="280"/>
      <c r="O28" s="280"/>
      <c r="P28" s="285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s="61" customFormat="1" ht="13.5" customHeight="1" x14ac:dyDescent="0.25">
      <c r="A29" s="51"/>
      <c r="B29" s="298">
        <v>3</v>
      </c>
      <c r="C29" s="301">
        <f>+C24+$N$12</f>
        <v>5.7199999999999989</v>
      </c>
      <c r="D29" s="278">
        <v>0.54500000000000004</v>
      </c>
      <c r="E29" s="278">
        <v>0.48499999999999999</v>
      </c>
      <c r="F29" s="62" t="s">
        <v>93</v>
      </c>
      <c r="G29" s="63">
        <v>0</v>
      </c>
      <c r="H29" s="64"/>
      <c r="I29" s="65"/>
      <c r="J29" s="66">
        <v>0.246</v>
      </c>
      <c r="K29" s="278">
        <f>+IF(E29&lt;=0.12,(J31),(IF(E29&lt;0.16,((J30+2*J31+J32)/4),IF(E29&gt;=0.16,((J29+3*J30+2*J31+3*J32+J33)/10)))))</f>
        <v>0.39579999999999999</v>
      </c>
      <c r="L29" s="278">
        <f>ROUND(+(D24+D29)/2*(C29-C24),3)</f>
        <v>0.27500000000000002</v>
      </c>
      <c r="M29" s="278">
        <f>ROUND(+K29*L29,4)</f>
        <v>0.10879999999999999</v>
      </c>
      <c r="N29" s="281">
        <f>ROUND(+M29/$M$98*100,2)</f>
        <v>12.04</v>
      </c>
      <c r="O29" s="282"/>
      <c r="P29" s="283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s="61" customFormat="1" ht="13.5" customHeight="1" x14ac:dyDescent="0.25">
      <c r="A30" s="51"/>
      <c r="B30" s="299"/>
      <c r="C30" s="279"/>
      <c r="D30" s="279"/>
      <c r="E30" s="279"/>
      <c r="F30" s="67" t="s">
        <v>94</v>
      </c>
      <c r="G30" s="68">
        <f>IF(E29&lt;0.125,"NA",IF(0.125&lt;=E29,(0.2*E29)))</f>
        <v>9.7000000000000003E-2</v>
      </c>
      <c r="H30" s="69"/>
      <c r="I30" s="70"/>
      <c r="J30" s="71">
        <v>0.33500000000000002</v>
      </c>
      <c r="K30" s="279"/>
      <c r="L30" s="279"/>
      <c r="M30" s="279"/>
      <c r="N30" s="279"/>
      <c r="O30" s="279"/>
      <c r="P30" s="284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s="61" customFormat="1" ht="13.5" customHeight="1" x14ac:dyDescent="0.25">
      <c r="A31" s="51"/>
      <c r="B31" s="299"/>
      <c r="C31" s="279"/>
      <c r="D31" s="279"/>
      <c r="E31" s="279"/>
      <c r="F31" s="67" t="s">
        <v>95</v>
      </c>
      <c r="G31" s="68">
        <f>+E29*0.4</f>
        <v>0.19400000000000001</v>
      </c>
      <c r="H31" s="69"/>
      <c r="I31" s="70"/>
      <c r="J31" s="71">
        <v>0.36</v>
      </c>
      <c r="K31" s="279"/>
      <c r="L31" s="279"/>
      <c r="M31" s="279"/>
      <c r="N31" s="279"/>
      <c r="O31" s="279"/>
      <c r="P31" s="284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s="61" customFormat="1" ht="13.5" customHeight="1" x14ac:dyDescent="0.25">
      <c r="A32" s="51"/>
      <c r="B32" s="299"/>
      <c r="C32" s="279"/>
      <c r="D32" s="279"/>
      <c r="E32" s="279"/>
      <c r="F32" s="67" t="s">
        <v>96</v>
      </c>
      <c r="G32" s="68">
        <f>IF(E29&lt;0.125,"NA",IF(0.125&lt;=E29,(0.8*E29)))</f>
        <v>0.38800000000000001</v>
      </c>
      <c r="H32" s="69"/>
      <c r="I32" s="70"/>
      <c r="J32" s="71">
        <v>0.52200000000000002</v>
      </c>
      <c r="K32" s="279"/>
      <c r="L32" s="279"/>
      <c r="M32" s="279"/>
      <c r="N32" s="279"/>
      <c r="O32" s="279"/>
      <c r="P32" s="284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s="61" customFormat="1" ht="13.5" customHeight="1" thickBot="1" x14ac:dyDescent="0.3">
      <c r="A33" s="51"/>
      <c r="B33" s="300"/>
      <c r="C33" s="280"/>
      <c r="D33" s="280"/>
      <c r="E33" s="280"/>
      <c r="F33" s="72" t="s">
        <v>97</v>
      </c>
      <c r="G33" s="73">
        <f>+E29</f>
        <v>0.48499999999999999</v>
      </c>
      <c r="H33" s="74"/>
      <c r="I33" s="75"/>
      <c r="J33" s="76">
        <v>0.42099999999999999</v>
      </c>
      <c r="K33" s="280"/>
      <c r="L33" s="280"/>
      <c r="M33" s="280"/>
      <c r="N33" s="280"/>
      <c r="O33" s="280"/>
      <c r="P33" s="285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s="61" customFormat="1" ht="13.5" customHeight="1" x14ac:dyDescent="0.25">
      <c r="A34" s="51"/>
      <c r="B34" s="298">
        <v>4</v>
      </c>
      <c r="C34" s="301">
        <f>+C29+$N$12</f>
        <v>6.3199999999999985</v>
      </c>
      <c r="D34" s="278">
        <v>0.41499999999999998</v>
      </c>
      <c r="E34" s="278">
        <v>0.55700000000000005</v>
      </c>
      <c r="F34" s="62" t="s">
        <v>93</v>
      </c>
      <c r="G34" s="63">
        <v>0</v>
      </c>
      <c r="H34" s="64"/>
      <c r="I34" s="65"/>
      <c r="J34" s="66"/>
      <c r="K34" s="278"/>
      <c r="L34" s="278"/>
      <c r="M34" s="278"/>
      <c r="N34" s="281"/>
      <c r="O34" s="282"/>
      <c r="P34" s="283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s="61" customFormat="1" ht="13.5" customHeight="1" x14ac:dyDescent="0.25">
      <c r="A35" s="51"/>
      <c r="B35" s="299"/>
      <c r="C35" s="279"/>
      <c r="D35" s="279"/>
      <c r="E35" s="279"/>
      <c r="F35" s="67" t="s">
        <v>94</v>
      </c>
      <c r="G35" s="68">
        <f>IF(E34&lt;0.125,"NA",IF(0.125&lt;=E34,(0.2*E34)))</f>
        <v>0.11140000000000001</v>
      </c>
      <c r="H35" s="69"/>
      <c r="I35" s="70"/>
      <c r="J35" s="71"/>
      <c r="K35" s="279"/>
      <c r="L35" s="279"/>
      <c r="M35" s="279"/>
      <c r="N35" s="279"/>
      <c r="O35" s="279"/>
      <c r="P35" s="284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s="61" customFormat="1" ht="13.5" customHeight="1" x14ac:dyDescent="0.25">
      <c r="A36" s="51"/>
      <c r="B36" s="299"/>
      <c r="C36" s="279"/>
      <c r="D36" s="279"/>
      <c r="E36" s="279"/>
      <c r="F36" s="67" t="s">
        <v>95</v>
      </c>
      <c r="G36" s="68">
        <f>+E34*0.4</f>
        <v>0.22280000000000003</v>
      </c>
      <c r="H36" s="69"/>
      <c r="I36" s="70"/>
      <c r="J36" s="71"/>
      <c r="K36" s="279"/>
      <c r="L36" s="279"/>
      <c r="M36" s="279"/>
      <c r="N36" s="279"/>
      <c r="O36" s="279"/>
      <c r="P36" s="284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61" customFormat="1" ht="13.5" customHeight="1" x14ac:dyDescent="0.25">
      <c r="A37" s="51"/>
      <c r="B37" s="299"/>
      <c r="C37" s="279"/>
      <c r="D37" s="279"/>
      <c r="E37" s="279"/>
      <c r="F37" s="67" t="s">
        <v>96</v>
      </c>
      <c r="G37" s="68">
        <f>IF(E34&lt;0.125,"NA",IF(0.125&lt;=E34,(0.8*E34)))</f>
        <v>0.44560000000000005</v>
      </c>
      <c r="H37" s="69"/>
      <c r="I37" s="70"/>
      <c r="J37" s="71"/>
      <c r="K37" s="279"/>
      <c r="L37" s="279"/>
      <c r="M37" s="279"/>
      <c r="N37" s="279"/>
      <c r="O37" s="279"/>
      <c r="P37" s="284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s="61" customFormat="1" ht="13.5" customHeight="1" thickBot="1" x14ac:dyDescent="0.3">
      <c r="A38" s="51"/>
      <c r="B38" s="300"/>
      <c r="C38" s="280"/>
      <c r="D38" s="280"/>
      <c r="E38" s="280"/>
      <c r="F38" s="72" t="s">
        <v>97</v>
      </c>
      <c r="G38" s="73">
        <f>+E34</f>
        <v>0.55700000000000005</v>
      </c>
      <c r="H38" s="74"/>
      <c r="I38" s="75"/>
      <c r="J38" s="76"/>
      <c r="K38" s="280"/>
      <c r="L38" s="280"/>
      <c r="M38" s="280"/>
      <c r="N38" s="280"/>
      <c r="O38" s="280"/>
      <c r="P38" s="285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s="61" customFormat="1" ht="13.5" customHeight="1" x14ac:dyDescent="0.25">
      <c r="A39" s="51"/>
      <c r="B39" s="298">
        <v>5</v>
      </c>
      <c r="C39" s="301">
        <f>+C34+$N$12</f>
        <v>6.9199999999999982</v>
      </c>
      <c r="D39" s="278">
        <v>0.40100000000000002</v>
      </c>
      <c r="E39" s="278">
        <v>0.38800000000000001</v>
      </c>
      <c r="F39" s="62" t="s">
        <v>93</v>
      </c>
      <c r="G39" s="63">
        <v>0</v>
      </c>
      <c r="H39" s="64"/>
      <c r="I39" s="65"/>
      <c r="J39" s="66">
        <v>0.19400000000000001</v>
      </c>
      <c r="K39" s="278">
        <f>+IF(E39&lt;=0.12,(J41),(IF(E39&lt;0.16,((J40+2*J41+J42)/4),IF(E39&gt;=0.16,((J39+3*J40+2*J41+3*J42+J43)/10)))))</f>
        <v>0.31980000000000003</v>
      </c>
      <c r="L39" s="278">
        <f>ROUND(+(D34+D39)/2*(C39-C34),3)</f>
        <v>0.245</v>
      </c>
      <c r="M39" s="278">
        <f>ROUND(+K39*L39,4)</f>
        <v>7.8399999999999997E-2</v>
      </c>
      <c r="N39" s="281">
        <f>ROUND(+M39/$M$98*100,2)</f>
        <v>8.68</v>
      </c>
      <c r="O39" s="282"/>
      <c r="P39" s="283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s="61" customFormat="1" ht="13.5" customHeight="1" x14ac:dyDescent="0.25">
      <c r="A40" s="51"/>
      <c r="B40" s="299"/>
      <c r="C40" s="279"/>
      <c r="D40" s="279"/>
      <c r="E40" s="279"/>
      <c r="F40" s="67" t="s">
        <v>94</v>
      </c>
      <c r="G40" s="68">
        <f>IF(E39&lt;0.125,"NA",IF(0.125&lt;=E39,(0.2*E39)))</f>
        <v>7.7600000000000002E-2</v>
      </c>
      <c r="H40" s="69"/>
      <c r="I40" s="70"/>
      <c r="J40" s="71">
        <v>0.25700000000000001</v>
      </c>
      <c r="K40" s="279"/>
      <c r="L40" s="279"/>
      <c r="M40" s="279"/>
      <c r="N40" s="279"/>
      <c r="O40" s="279"/>
      <c r="P40" s="284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s="61" customFormat="1" ht="13.5" customHeight="1" x14ac:dyDescent="0.25">
      <c r="A41" s="51"/>
      <c r="B41" s="299"/>
      <c r="C41" s="279"/>
      <c r="D41" s="279"/>
      <c r="E41" s="279"/>
      <c r="F41" s="67" t="s">
        <v>95</v>
      </c>
      <c r="G41" s="68">
        <f>+E39*0.4</f>
        <v>0.1552</v>
      </c>
      <c r="H41" s="69"/>
      <c r="I41" s="70"/>
      <c r="J41" s="71">
        <v>0.32500000000000001</v>
      </c>
      <c r="K41" s="279"/>
      <c r="L41" s="279"/>
      <c r="M41" s="279"/>
      <c r="N41" s="279"/>
      <c r="O41" s="279"/>
      <c r="P41" s="284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s="61" customFormat="1" ht="13.5" customHeight="1" x14ac:dyDescent="0.25">
      <c r="A42" s="51"/>
      <c r="B42" s="299"/>
      <c r="C42" s="279"/>
      <c r="D42" s="279"/>
      <c r="E42" s="279"/>
      <c r="F42" s="67" t="s">
        <v>96</v>
      </c>
      <c r="G42" s="68">
        <f>IF(E39&lt;0.125,"NA",IF(0.125&lt;=E39,(0.8*E39)))</f>
        <v>0.31040000000000001</v>
      </c>
      <c r="H42" s="69"/>
      <c r="I42" s="70"/>
      <c r="J42" s="71">
        <v>0.40100000000000002</v>
      </c>
      <c r="K42" s="279"/>
      <c r="L42" s="279"/>
      <c r="M42" s="279"/>
      <c r="N42" s="279"/>
      <c r="O42" s="279"/>
      <c r="P42" s="284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s="61" customFormat="1" ht="13.5" customHeight="1" thickBot="1" x14ac:dyDescent="0.3">
      <c r="A43" s="51"/>
      <c r="B43" s="300"/>
      <c r="C43" s="280"/>
      <c r="D43" s="280"/>
      <c r="E43" s="280"/>
      <c r="F43" s="72" t="s">
        <v>97</v>
      </c>
      <c r="G43" s="73">
        <f>+E39</f>
        <v>0.38800000000000001</v>
      </c>
      <c r="H43" s="74"/>
      <c r="I43" s="75"/>
      <c r="J43" s="76">
        <v>0.38</v>
      </c>
      <c r="K43" s="280"/>
      <c r="L43" s="280"/>
      <c r="M43" s="280"/>
      <c r="N43" s="280"/>
      <c r="O43" s="280"/>
      <c r="P43" s="285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s="61" customFormat="1" ht="13.5" customHeight="1" x14ac:dyDescent="0.25">
      <c r="A44" s="51"/>
      <c r="B44" s="298">
        <v>6</v>
      </c>
      <c r="C44" s="301">
        <f>+C39+$N$12</f>
        <v>7.5199999999999978</v>
      </c>
      <c r="D44" s="278">
        <v>0.40500000000000003</v>
      </c>
      <c r="E44" s="278">
        <v>0.40100000000000002</v>
      </c>
      <c r="F44" s="62" t="s">
        <v>93</v>
      </c>
      <c r="G44" s="63">
        <v>0</v>
      </c>
      <c r="H44" s="64"/>
      <c r="I44" s="65"/>
      <c r="J44" s="66">
        <v>0.38600000000000001</v>
      </c>
      <c r="K44" s="278">
        <f>+IF(E44&lt;=0.12,(J46),(IF(E44&lt;0.16,((J45+2*J46+J47)/4),IF(E44&gt;=0.16,((J44+3*J45+2*J46+3*J47+J48)/10)))))</f>
        <v>0.59470000000000012</v>
      </c>
      <c r="L44" s="278">
        <f>ROUND(+(D39+D44)/2*(C44-C39),3)</f>
        <v>0.24199999999999999</v>
      </c>
      <c r="M44" s="278">
        <f>ROUND(+K44*L44,4)</f>
        <v>0.1439</v>
      </c>
      <c r="N44" s="281">
        <f>ROUND(+M44/$M$98*100,2)</f>
        <v>15.92</v>
      </c>
      <c r="O44" s="282"/>
      <c r="P44" s="283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s="61" customFormat="1" ht="13.5" customHeight="1" x14ac:dyDescent="0.25">
      <c r="A45" s="51"/>
      <c r="B45" s="299"/>
      <c r="C45" s="279"/>
      <c r="D45" s="279"/>
      <c r="E45" s="279"/>
      <c r="F45" s="67" t="s">
        <v>94</v>
      </c>
      <c r="G45" s="68">
        <f>IF(E44&lt;0.125,"NA",IF(0.125&lt;=E44,(0.2*E44)))</f>
        <v>8.0200000000000007E-2</v>
      </c>
      <c r="H45" s="69"/>
      <c r="I45" s="70"/>
      <c r="J45" s="71">
        <v>0.54400000000000004</v>
      </c>
      <c r="K45" s="279"/>
      <c r="L45" s="279"/>
      <c r="M45" s="279"/>
      <c r="N45" s="279"/>
      <c r="O45" s="279"/>
      <c r="P45" s="284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s="61" customFormat="1" ht="13.5" customHeight="1" x14ac:dyDescent="0.25">
      <c r="A46" s="51"/>
      <c r="B46" s="299"/>
      <c r="C46" s="279"/>
      <c r="D46" s="279"/>
      <c r="E46" s="279"/>
      <c r="F46" s="67" t="s">
        <v>95</v>
      </c>
      <c r="G46" s="68">
        <f>+E44*0.4</f>
        <v>0.16040000000000001</v>
      </c>
      <c r="H46" s="69"/>
      <c r="I46" s="70"/>
      <c r="J46" s="71">
        <v>0.64100000000000001</v>
      </c>
      <c r="K46" s="279"/>
      <c r="L46" s="279"/>
      <c r="M46" s="279"/>
      <c r="N46" s="279"/>
      <c r="O46" s="279"/>
      <c r="P46" s="284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s="61" customFormat="1" ht="13.5" customHeight="1" x14ac:dyDescent="0.25">
      <c r="A47" s="51"/>
      <c r="B47" s="299"/>
      <c r="C47" s="279"/>
      <c r="D47" s="279"/>
      <c r="E47" s="279"/>
      <c r="F47" s="67" t="s">
        <v>96</v>
      </c>
      <c r="G47" s="68">
        <f>IF(E44&lt;0.125,"NA",IF(0.125&lt;=E44,(0.8*E44)))</f>
        <v>0.32080000000000003</v>
      </c>
      <c r="H47" s="69"/>
      <c r="I47" s="70"/>
      <c r="J47" s="71">
        <v>0.67500000000000004</v>
      </c>
      <c r="K47" s="279"/>
      <c r="L47" s="279"/>
      <c r="M47" s="279"/>
      <c r="N47" s="279"/>
      <c r="O47" s="279"/>
      <c r="P47" s="284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s="61" customFormat="1" ht="13.5" customHeight="1" thickBot="1" x14ac:dyDescent="0.3">
      <c r="A48" s="51"/>
      <c r="B48" s="300"/>
      <c r="C48" s="280"/>
      <c r="D48" s="280"/>
      <c r="E48" s="280"/>
      <c r="F48" s="72" t="s">
        <v>97</v>
      </c>
      <c r="G48" s="73">
        <f>+E44</f>
        <v>0.40100000000000002</v>
      </c>
      <c r="H48" s="74"/>
      <c r="I48" s="75"/>
      <c r="J48" s="76">
        <v>0.622</v>
      </c>
      <c r="K48" s="280"/>
      <c r="L48" s="280"/>
      <c r="M48" s="280"/>
      <c r="N48" s="280"/>
      <c r="O48" s="280"/>
      <c r="P48" s="285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s="61" customFormat="1" ht="13.5" customHeight="1" x14ac:dyDescent="0.25">
      <c r="A49" s="51"/>
      <c r="B49" s="298">
        <v>7</v>
      </c>
      <c r="C49" s="301">
        <f>+C44+$N$12</f>
        <v>8.1199999999999974</v>
      </c>
      <c r="D49" s="278">
        <v>0.38500000000000001</v>
      </c>
      <c r="E49" s="278">
        <v>0.42499999999999999</v>
      </c>
      <c r="F49" s="62" t="s">
        <v>93</v>
      </c>
      <c r="G49" s="63">
        <v>0</v>
      </c>
      <c r="H49" s="64"/>
      <c r="I49" s="65"/>
      <c r="J49" s="66">
        <v>0.215</v>
      </c>
      <c r="K49" s="278">
        <f>+IF(E49&lt;=0.12,(J51),(IF(E49&lt;0.16,((J50+2*J51+J52)/4),IF(E49&gt;=0.16,((J49+3*J50+2*J51+3*J52+J53)/10)))))</f>
        <v>0.58020000000000005</v>
      </c>
      <c r="L49" s="278">
        <f>ROUND(+(D44+D49)/2*(C49-C44),3)</f>
        <v>0.23699999999999999</v>
      </c>
      <c r="M49" s="278">
        <f>ROUND(+K49*L49,4)</f>
        <v>0.13750000000000001</v>
      </c>
      <c r="N49" s="281">
        <f>ROUND(+M49/$M$98*100,2)</f>
        <v>15.22</v>
      </c>
      <c r="O49" s="282"/>
      <c r="P49" s="283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s="61" customFormat="1" ht="13.5" customHeight="1" x14ac:dyDescent="0.25">
      <c r="A50" s="51"/>
      <c r="B50" s="299"/>
      <c r="C50" s="279"/>
      <c r="D50" s="279"/>
      <c r="E50" s="279"/>
      <c r="F50" s="67" t="s">
        <v>94</v>
      </c>
      <c r="G50" s="68">
        <f>IF(E49&lt;0.125,"NA",IF(0.125&lt;=E49,(0.2*E49)))</f>
        <v>8.5000000000000006E-2</v>
      </c>
      <c r="H50" s="69"/>
      <c r="I50" s="70"/>
      <c r="J50" s="71">
        <v>0.441</v>
      </c>
      <c r="K50" s="279"/>
      <c r="L50" s="279"/>
      <c r="M50" s="279"/>
      <c r="N50" s="279"/>
      <c r="O50" s="279"/>
      <c r="P50" s="284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s="61" customFormat="1" ht="13.5" customHeight="1" x14ac:dyDescent="0.25">
      <c r="A51" s="51"/>
      <c r="B51" s="299"/>
      <c r="C51" s="279"/>
      <c r="D51" s="279"/>
      <c r="E51" s="279"/>
      <c r="F51" s="67" t="s">
        <v>95</v>
      </c>
      <c r="G51" s="68">
        <f>+E49*0.4</f>
        <v>0.17</v>
      </c>
      <c r="H51" s="69"/>
      <c r="I51" s="70"/>
      <c r="J51" s="71">
        <v>0.629</v>
      </c>
      <c r="K51" s="279"/>
      <c r="L51" s="279"/>
      <c r="M51" s="279"/>
      <c r="N51" s="279"/>
      <c r="O51" s="279"/>
      <c r="P51" s="284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s="61" customFormat="1" ht="13.5" customHeight="1" x14ac:dyDescent="0.25">
      <c r="A52" s="51"/>
      <c r="B52" s="299"/>
      <c r="C52" s="279"/>
      <c r="D52" s="279"/>
      <c r="E52" s="279"/>
      <c r="F52" s="67" t="s">
        <v>96</v>
      </c>
      <c r="G52" s="68">
        <f>IF(E49&lt;0.125,"NA",IF(0.125&lt;=E49,(0.8*E49)))</f>
        <v>0.34</v>
      </c>
      <c r="H52" s="69"/>
      <c r="I52" s="70"/>
      <c r="J52" s="71">
        <v>0.76300000000000001</v>
      </c>
      <c r="K52" s="279"/>
      <c r="L52" s="279"/>
      <c r="M52" s="279"/>
      <c r="N52" s="279"/>
      <c r="O52" s="279"/>
      <c r="P52" s="284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s="61" customFormat="1" ht="13.5" customHeight="1" thickBot="1" x14ac:dyDescent="0.3">
      <c r="A53" s="51"/>
      <c r="B53" s="300"/>
      <c r="C53" s="280"/>
      <c r="D53" s="280"/>
      <c r="E53" s="280"/>
      <c r="F53" s="72" t="s">
        <v>97</v>
      </c>
      <c r="G53" s="73">
        <f>+E49</f>
        <v>0.42499999999999999</v>
      </c>
      <c r="H53" s="74"/>
      <c r="I53" s="75"/>
      <c r="J53" s="76">
        <v>0.71699999999999997</v>
      </c>
      <c r="K53" s="280"/>
      <c r="L53" s="280"/>
      <c r="M53" s="280"/>
      <c r="N53" s="280"/>
      <c r="O53" s="280"/>
      <c r="P53" s="285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s="61" customFormat="1" ht="13.5" customHeight="1" x14ac:dyDescent="0.25">
      <c r="A54" s="51"/>
      <c r="B54" s="298">
        <v>8</v>
      </c>
      <c r="C54" s="301">
        <f>+C49+0.5</f>
        <v>8.6199999999999974</v>
      </c>
      <c r="D54" s="278">
        <v>0.27500000000000002</v>
      </c>
      <c r="E54" s="278">
        <v>0.313</v>
      </c>
      <c r="F54" s="62" t="s">
        <v>93</v>
      </c>
      <c r="G54" s="63">
        <v>0</v>
      </c>
      <c r="H54" s="64"/>
      <c r="I54" s="65"/>
      <c r="J54" s="66">
        <v>0.47599999999999998</v>
      </c>
      <c r="K54" s="278">
        <f>+IF(E54&lt;=0.12,(J56),(IF(E54&lt;0.16,((J55+2*J56+J57)/4),IF(E54&gt;=0.16,((J54+3*J55+2*J56+3*J57+J58)/10)))))</f>
        <v>0.68740000000000001</v>
      </c>
      <c r="L54" s="278">
        <f>ROUND(+(D49+D54)/2*(C54-C49),3)</f>
        <v>0.16500000000000001</v>
      </c>
      <c r="M54" s="278">
        <f>ROUND(+K54*L54,4)</f>
        <v>0.1134</v>
      </c>
      <c r="N54" s="281">
        <f>ROUND(+M54/$M$98*100,2)</f>
        <v>12.55</v>
      </c>
      <c r="O54" s="282"/>
      <c r="P54" s="283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s="61" customFormat="1" ht="13.5" customHeight="1" x14ac:dyDescent="0.25">
      <c r="A55" s="51"/>
      <c r="B55" s="299"/>
      <c r="C55" s="279"/>
      <c r="D55" s="279"/>
      <c r="E55" s="279"/>
      <c r="F55" s="67" t="s">
        <v>94</v>
      </c>
      <c r="G55" s="68">
        <f>IF(E54&lt;0.125,"NA",IF(0.125&lt;=E54,(0.2*E54)))</f>
        <v>6.2600000000000003E-2</v>
      </c>
      <c r="H55" s="69"/>
      <c r="I55" s="70"/>
      <c r="J55" s="71">
        <v>0.63800000000000001</v>
      </c>
      <c r="K55" s="279"/>
      <c r="L55" s="279"/>
      <c r="M55" s="279"/>
      <c r="N55" s="279"/>
      <c r="O55" s="279"/>
      <c r="P55" s="284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61" customFormat="1" ht="13.5" customHeight="1" x14ac:dyDescent="0.25">
      <c r="A56" s="51"/>
      <c r="B56" s="299"/>
      <c r="C56" s="279"/>
      <c r="D56" s="279"/>
      <c r="E56" s="279"/>
      <c r="F56" s="67" t="s">
        <v>95</v>
      </c>
      <c r="G56" s="68">
        <f>+E54*0.4</f>
        <v>0.12520000000000001</v>
      </c>
      <c r="H56" s="69"/>
      <c r="I56" s="70"/>
      <c r="J56" s="71">
        <v>0.60799999999999998</v>
      </c>
      <c r="K56" s="279"/>
      <c r="L56" s="279"/>
      <c r="M56" s="279"/>
      <c r="N56" s="279"/>
      <c r="O56" s="279"/>
      <c r="P56" s="284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s="61" customFormat="1" ht="13.5" customHeight="1" x14ac:dyDescent="0.25">
      <c r="A57" s="51"/>
      <c r="B57" s="299"/>
      <c r="C57" s="279"/>
      <c r="D57" s="279"/>
      <c r="E57" s="279"/>
      <c r="F57" s="67" t="s">
        <v>96</v>
      </c>
      <c r="G57" s="68">
        <f>IF(E54&lt;0.125,"NA",IF(0.125&lt;=E54,(0.8*E54)))</f>
        <v>0.25040000000000001</v>
      </c>
      <c r="H57" s="69"/>
      <c r="I57" s="70"/>
      <c r="J57" s="71">
        <v>0.79800000000000004</v>
      </c>
      <c r="K57" s="279"/>
      <c r="L57" s="279"/>
      <c r="M57" s="279"/>
      <c r="N57" s="279"/>
      <c r="O57" s="279"/>
      <c r="P57" s="284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s="61" customFormat="1" ht="13.5" customHeight="1" thickBot="1" x14ac:dyDescent="0.3">
      <c r="A58" s="51"/>
      <c r="B58" s="300"/>
      <c r="C58" s="280"/>
      <c r="D58" s="280"/>
      <c r="E58" s="280"/>
      <c r="F58" s="72" t="s">
        <v>97</v>
      </c>
      <c r="G58" s="73">
        <f>+E54</f>
        <v>0.313</v>
      </c>
      <c r="H58" s="74"/>
      <c r="I58" s="75"/>
      <c r="J58" s="76">
        <v>0.874</v>
      </c>
      <c r="K58" s="280"/>
      <c r="L58" s="280"/>
      <c r="M58" s="280"/>
      <c r="N58" s="280"/>
      <c r="O58" s="280"/>
      <c r="P58" s="285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s="61" customFormat="1" ht="13.5" customHeight="1" x14ac:dyDescent="0.25">
      <c r="A59" s="51"/>
      <c r="B59" s="298">
        <v>9</v>
      </c>
      <c r="C59" s="301">
        <f>+C54+0.5</f>
        <v>9.1199999999999974</v>
      </c>
      <c r="D59" s="278">
        <v>0.28499999999999998</v>
      </c>
      <c r="E59" s="278">
        <v>0.245</v>
      </c>
      <c r="F59" s="62" t="s">
        <v>93</v>
      </c>
      <c r="G59" s="63">
        <v>0</v>
      </c>
      <c r="H59" s="64"/>
      <c r="I59" s="65"/>
      <c r="J59" s="66">
        <v>0.35</v>
      </c>
      <c r="K59" s="278">
        <f>+IF(E59&lt;=0.12,(J61),(IF(E59&lt;0.16,((J60+2*J61+J62)/4),IF(E59&gt;=0.16,((J59+3*J60+2*J61+3*J62+J63)/10)))))</f>
        <v>0.61270000000000002</v>
      </c>
      <c r="L59" s="278">
        <f>ROUND(+(D54+D59)/2*(C59-C54),3)</f>
        <v>0.14000000000000001</v>
      </c>
      <c r="M59" s="278">
        <f>ROUND(+K59*L59,4)</f>
        <v>8.5800000000000001E-2</v>
      </c>
      <c r="N59" s="281">
        <f>ROUND(+M59/$M$98*100,2)</f>
        <v>9.49</v>
      </c>
      <c r="O59" s="282"/>
      <c r="P59" s="283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s="61" customFormat="1" ht="13.5" customHeight="1" x14ac:dyDescent="0.25">
      <c r="A60" s="51"/>
      <c r="B60" s="299"/>
      <c r="C60" s="279"/>
      <c r="D60" s="279"/>
      <c r="E60" s="279"/>
      <c r="F60" s="67" t="s">
        <v>94</v>
      </c>
      <c r="G60" s="68">
        <f>IF(E59&lt;0.125,"NA",IF(0.125&lt;=E59,(0.2*E59)))</f>
        <v>4.9000000000000002E-2</v>
      </c>
      <c r="H60" s="69"/>
      <c r="I60" s="70"/>
      <c r="J60" s="71">
        <v>0.52200000000000002</v>
      </c>
      <c r="K60" s="279"/>
      <c r="L60" s="279"/>
      <c r="M60" s="279"/>
      <c r="N60" s="279"/>
      <c r="O60" s="279"/>
      <c r="P60" s="284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s="61" customFormat="1" ht="13.5" customHeight="1" x14ac:dyDescent="0.25">
      <c r="A61" s="51"/>
      <c r="B61" s="299"/>
      <c r="C61" s="279"/>
      <c r="D61" s="279"/>
      <c r="E61" s="279"/>
      <c r="F61" s="67" t="s">
        <v>95</v>
      </c>
      <c r="G61" s="68">
        <f>+E59*0.4</f>
        <v>9.8000000000000004E-2</v>
      </c>
      <c r="H61" s="69"/>
      <c r="I61" s="70"/>
      <c r="J61" s="71">
        <v>0.57799999999999996</v>
      </c>
      <c r="K61" s="279"/>
      <c r="L61" s="279"/>
      <c r="M61" s="279"/>
      <c r="N61" s="279"/>
      <c r="O61" s="279"/>
      <c r="P61" s="284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s="61" customFormat="1" ht="13.5" customHeight="1" x14ac:dyDescent="0.25">
      <c r="A62" s="51"/>
      <c r="B62" s="299"/>
      <c r="C62" s="279"/>
      <c r="D62" s="279"/>
      <c r="E62" s="279"/>
      <c r="F62" s="67" t="s">
        <v>96</v>
      </c>
      <c r="G62" s="68">
        <f>IF(E59&lt;0.125,"NA",IF(0.125&lt;=E59,(0.8*E59)))</f>
        <v>0.19600000000000001</v>
      </c>
      <c r="H62" s="69"/>
      <c r="I62" s="70"/>
      <c r="J62" s="71">
        <v>0.75600000000000001</v>
      </c>
      <c r="K62" s="279"/>
      <c r="L62" s="279"/>
      <c r="M62" s="279"/>
      <c r="N62" s="279"/>
      <c r="O62" s="279"/>
      <c r="P62" s="284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s="61" customFormat="1" ht="13.5" customHeight="1" thickBot="1" x14ac:dyDescent="0.3">
      <c r="A63" s="51"/>
      <c r="B63" s="300"/>
      <c r="C63" s="280"/>
      <c r="D63" s="280"/>
      <c r="E63" s="280"/>
      <c r="F63" s="72" t="s">
        <v>97</v>
      </c>
      <c r="G63" s="73">
        <f>+E59</f>
        <v>0.245</v>
      </c>
      <c r="H63" s="74"/>
      <c r="I63" s="75"/>
      <c r="J63" s="76">
        <v>0.78700000000000003</v>
      </c>
      <c r="K63" s="280"/>
      <c r="L63" s="280"/>
      <c r="M63" s="280"/>
      <c r="N63" s="280"/>
      <c r="O63" s="280"/>
      <c r="P63" s="285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s="61" customFormat="1" ht="13.5" customHeight="1" x14ac:dyDescent="0.25">
      <c r="A64" s="51"/>
      <c r="B64" s="298">
        <v>10</v>
      </c>
      <c r="C64" s="301">
        <f>+C59+0.5</f>
        <v>9.6199999999999974</v>
      </c>
      <c r="D64" s="278">
        <v>0.185</v>
      </c>
      <c r="E64" s="278">
        <v>0.22500000000000001</v>
      </c>
      <c r="F64" s="62" t="s">
        <v>93</v>
      </c>
      <c r="G64" s="63">
        <v>0</v>
      </c>
      <c r="H64" s="64"/>
      <c r="I64" s="65"/>
      <c r="J64" s="66">
        <v>0.7</v>
      </c>
      <c r="K64" s="278">
        <f>+IF(E64&lt;=0.12,(J66),(IF(E64&lt;0.16,((J65+2*J66+J67)/4),IF(E64&gt;=0.16,((J64+3*J65+2*J66+3*J67+J68)/10)))))</f>
        <v>0.19419999999999998</v>
      </c>
      <c r="L64" s="278">
        <f>ROUND(+(D59+D64)/2*(C64-C59),3)</f>
        <v>0.11799999999999999</v>
      </c>
      <c r="M64" s="278">
        <f>ROUND(+K64*L64,4)</f>
        <v>2.29E-2</v>
      </c>
      <c r="N64" s="281">
        <f>ROUND(+M64/$M$98*100,2)</f>
        <v>2.5299999999999998</v>
      </c>
      <c r="O64" s="282"/>
      <c r="P64" s="283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s="61" customFormat="1" ht="13.5" customHeight="1" x14ac:dyDescent="0.25">
      <c r="A65" s="51"/>
      <c r="B65" s="299"/>
      <c r="C65" s="279"/>
      <c r="D65" s="279"/>
      <c r="E65" s="279"/>
      <c r="F65" s="67" t="s">
        <v>94</v>
      </c>
      <c r="G65" s="68">
        <f>IF(E64&lt;0.125,"NA",IF(0.125&lt;=E64,(0.2*E64)))</f>
        <v>4.5000000000000005E-2</v>
      </c>
      <c r="H65" s="69"/>
      <c r="I65" s="70"/>
      <c r="J65" s="71">
        <v>6.8000000000000005E-2</v>
      </c>
      <c r="K65" s="279"/>
      <c r="L65" s="279"/>
      <c r="M65" s="279"/>
      <c r="N65" s="279"/>
      <c r="O65" s="279"/>
      <c r="P65" s="284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s="61" customFormat="1" ht="13.5" customHeight="1" x14ac:dyDescent="0.25">
      <c r="A66" s="51"/>
      <c r="B66" s="299"/>
      <c r="C66" s="279"/>
      <c r="D66" s="279"/>
      <c r="E66" s="279"/>
      <c r="F66" s="67" t="s">
        <v>95</v>
      </c>
      <c r="G66" s="68">
        <f>+E64*0.4</f>
        <v>9.0000000000000011E-2</v>
      </c>
      <c r="H66" s="69"/>
      <c r="I66" s="70"/>
      <c r="J66" s="71">
        <v>0.13300000000000001</v>
      </c>
      <c r="K66" s="279"/>
      <c r="L66" s="279"/>
      <c r="M66" s="279"/>
      <c r="N66" s="279"/>
      <c r="O66" s="279"/>
      <c r="P66" s="284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s="61" customFormat="1" ht="13.5" customHeight="1" x14ac:dyDescent="0.25">
      <c r="A67" s="51"/>
      <c r="B67" s="299"/>
      <c r="C67" s="279"/>
      <c r="D67" s="279"/>
      <c r="E67" s="279"/>
      <c r="F67" s="67" t="s">
        <v>96</v>
      </c>
      <c r="G67" s="68">
        <f>IF(E64&lt;0.125,"NA",IF(0.125&lt;=E64,(0.8*E64)))</f>
        <v>0.18000000000000002</v>
      </c>
      <c r="H67" s="69"/>
      <c r="I67" s="70"/>
      <c r="J67" s="71">
        <v>0.17799999999999999</v>
      </c>
      <c r="K67" s="279"/>
      <c r="L67" s="279"/>
      <c r="M67" s="279"/>
      <c r="N67" s="279"/>
      <c r="O67" s="279"/>
      <c r="P67" s="284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s="61" customFormat="1" ht="13.5" customHeight="1" thickBot="1" x14ac:dyDescent="0.3">
      <c r="A68" s="51"/>
      <c r="B68" s="300"/>
      <c r="C68" s="280"/>
      <c r="D68" s="280"/>
      <c r="E68" s="280"/>
      <c r="F68" s="72" t="s">
        <v>97</v>
      </c>
      <c r="G68" s="73">
        <f>+E64</f>
        <v>0.22500000000000001</v>
      </c>
      <c r="H68" s="74"/>
      <c r="I68" s="75"/>
      <c r="J68" s="76">
        <v>0.23799999999999999</v>
      </c>
      <c r="K68" s="280"/>
      <c r="L68" s="280"/>
      <c r="M68" s="280"/>
      <c r="N68" s="280"/>
      <c r="O68" s="280"/>
      <c r="P68" s="285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s="61" customFormat="1" ht="13.5" customHeight="1" x14ac:dyDescent="0.25">
      <c r="A69" s="51"/>
      <c r="B69" s="298">
        <v>11</v>
      </c>
      <c r="C69" s="301">
        <f>+C64+0.5</f>
        <v>10.119999999999997</v>
      </c>
      <c r="D69" s="278">
        <v>0.125</v>
      </c>
      <c r="E69" s="278">
        <v>0.16</v>
      </c>
      <c r="F69" s="62" t="s">
        <v>93</v>
      </c>
      <c r="G69" s="63">
        <v>0</v>
      </c>
      <c r="H69" s="64"/>
      <c r="I69" s="65"/>
      <c r="J69" s="66">
        <v>0.54700000000000004</v>
      </c>
      <c r="K69" s="278">
        <f>+IF(E69&lt;=0.12,(J71),(IF(E69&lt;0.16,((J70+2*J71+J72)/4),IF(E69&gt;=0.16,((J69+3*J70+2*J71+3*J72+J73)/10)))))</f>
        <v>0.57279999999999998</v>
      </c>
      <c r="L69" s="278">
        <f>ROUND(+(D64+D69)/2*(C69-C64),3)</f>
        <v>7.8E-2</v>
      </c>
      <c r="M69" s="278">
        <f>ROUND(+K69*L69,4)</f>
        <v>4.4699999999999997E-2</v>
      </c>
      <c r="N69" s="281">
        <f>ROUND(+M69/$M$98*100,2)</f>
        <v>4.95</v>
      </c>
      <c r="O69" s="282"/>
      <c r="P69" s="283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s="61" customFormat="1" ht="13.5" customHeight="1" x14ac:dyDescent="0.25">
      <c r="A70" s="51"/>
      <c r="B70" s="299"/>
      <c r="C70" s="279"/>
      <c r="D70" s="279"/>
      <c r="E70" s="279"/>
      <c r="F70" s="67" t="s">
        <v>94</v>
      </c>
      <c r="G70" s="68">
        <f>IF(E69&lt;0.125,"NA",IF(0.125&lt;=E69,(0.2*E69)))</f>
        <v>3.2000000000000001E-2</v>
      </c>
      <c r="H70" s="69"/>
      <c r="I70" s="70"/>
      <c r="J70" s="71">
        <v>0.56499999999999995</v>
      </c>
      <c r="K70" s="279"/>
      <c r="L70" s="279"/>
      <c r="M70" s="279"/>
      <c r="N70" s="279"/>
      <c r="O70" s="279"/>
      <c r="P70" s="284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s="61" customFormat="1" ht="13.5" customHeight="1" x14ac:dyDescent="0.25">
      <c r="A71" s="51"/>
      <c r="B71" s="299"/>
      <c r="C71" s="279"/>
      <c r="D71" s="279"/>
      <c r="E71" s="279"/>
      <c r="F71" s="67" t="s">
        <v>95</v>
      </c>
      <c r="G71" s="68">
        <f>+E69*0.4</f>
        <v>6.4000000000000001E-2</v>
      </c>
      <c r="H71" s="69"/>
      <c r="I71" s="70"/>
      <c r="J71" s="71">
        <v>0.58199999999999996</v>
      </c>
      <c r="K71" s="279"/>
      <c r="L71" s="279"/>
      <c r="M71" s="279"/>
      <c r="N71" s="279"/>
      <c r="O71" s="279"/>
      <c r="P71" s="284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s="61" customFormat="1" ht="13.5" customHeight="1" x14ac:dyDescent="0.25">
      <c r="A72" s="51"/>
      <c r="B72" s="299"/>
      <c r="C72" s="279"/>
      <c r="D72" s="279"/>
      <c r="E72" s="279"/>
      <c r="F72" s="67" t="s">
        <v>96</v>
      </c>
      <c r="G72" s="68">
        <f>IF(E69&lt;0.125,"NA",IF(0.125&lt;=E69,(0.8*E69)))</f>
        <v>0.128</v>
      </c>
      <c r="H72" s="69"/>
      <c r="I72" s="70"/>
      <c r="J72" s="71">
        <v>0.59899999999999998</v>
      </c>
      <c r="K72" s="279"/>
      <c r="L72" s="279"/>
      <c r="M72" s="279"/>
      <c r="N72" s="279"/>
      <c r="O72" s="279"/>
      <c r="P72" s="284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s="61" customFormat="1" ht="13.5" customHeight="1" thickBot="1" x14ac:dyDescent="0.3">
      <c r="A73" s="51"/>
      <c r="B73" s="300"/>
      <c r="C73" s="280"/>
      <c r="D73" s="280"/>
      <c r="E73" s="280"/>
      <c r="F73" s="72" t="s">
        <v>97</v>
      </c>
      <c r="G73" s="73">
        <f>+E69</f>
        <v>0.16</v>
      </c>
      <c r="H73" s="74"/>
      <c r="I73" s="75"/>
      <c r="J73" s="76">
        <v>0.52500000000000002</v>
      </c>
      <c r="K73" s="280"/>
      <c r="L73" s="280"/>
      <c r="M73" s="280"/>
      <c r="N73" s="280"/>
      <c r="O73" s="280"/>
      <c r="P73" s="285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s="61" customFormat="1" ht="13.5" customHeight="1" x14ac:dyDescent="0.25">
      <c r="A74" s="51"/>
      <c r="B74" s="298">
        <v>12</v>
      </c>
      <c r="C74" s="301">
        <f>+C69+0.5</f>
        <v>10.619999999999997</v>
      </c>
      <c r="D74" s="278">
        <v>0.16500000000000001</v>
      </c>
      <c r="E74" s="278">
        <v>0.16500000000000001</v>
      </c>
      <c r="F74" s="62" t="s">
        <v>93</v>
      </c>
      <c r="G74" s="63">
        <v>0</v>
      </c>
      <c r="H74" s="64"/>
      <c r="I74" s="65"/>
      <c r="J74" s="66">
        <v>0.223</v>
      </c>
      <c r="K74" s="278">
        <f>+IF(E74&lt;=0.12,(J76),(IF(E74&lt;0.16,((J75+2*J76+J77)/4),IF(E74&gt;=0.16,((J74+3*J75+2*J76+3*J77+J78)/10)))))</f>
        <v>0.26580000000000004</v>
      </c>
      <c r="L74" s="278">
        <f>ROUND(+(D69+D74)/2*(C74-C69),3)</f>
        <v>7.2999999999999995E-2</v>
      </c>
      <c r="M74" s="278">
        <f>ROUND(+K74*L74,4)</f>
        <v>1.9400000000000001E-2</v>
      </c>
      <c r="N74" s="281">
        <f>ROUND(+M74/$M$98*100,2)</f>
        <v>2.15</v>
      </c>
      <c r="O74" s="282"/>
      <c r="P74" s="283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s="61" customFormat="1" ht="13.5" customHeight="1" x14ac:dyDescent="0.25">
      <c r="A75" s="51"/>
      <c r="B75" s="299"/>
      <c r="C75" s="279"/>
      <c r="D75" s="279"/>
      <c r="E75" s="279"/>
      <c r="F75" s="67" t="s">
        <v>94</v>
      </c>
      <c r="G75" s="68">
        <f>IF(E74&lt;0.125,"NA",IF(0.125&lt;=E74,(0.2*E74)))</f>
        <v>3.3000000000000002E-2</v>
      </c>
      <c r="H75" s="69"/>
      <c r="I75" s="70"/>
      <c r="J75" s="71">
        <v>0.23300000000000001</v>
      </c>
      <c r="K75" s="279"/>
      <c r="L75" s="279"/>
      <c r="M75" s="279"/>
      <c r="N75" s="279"/>
      <c r="O75" s="279"/>
      <c r="P75" s="284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s="61" customFormat="1" ht="13.5" customHeight="1" x14ac:dyDescent="0.25">
      <c r="A76" s="51"/>
      <c r="B76" s="299"/>
      <c r="C76" s="279"/>
      <c r="D76" s="279"/>
      <c r="E76" s="279"/>
      <c r="F76" s="67" t="s">
        <v>95</v>
      </c>
      <c r="G76" s="68">
        <f>+E74*0.4</f>
        <v>6.6000000000000003E-2</v>
      </c>
      <c r="H76" s="69"/>
      <c r="I76" s="70"/>
      <c r="J76" s="71">
        <v>0.28199999999999997</v>
      </c>
      <c r="K76" s="279"/>
      <c r="L76" s="279"/>
      <c r="M76" s="279"/>
      <c r="N76" s="279"/>
      <c r="O76" s="279"/>
      <c r="P76" s="284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s="61" customFormat="1" ht="13.5" customHeight="1" x14ac:dyDescent="0.25">
      <c r="A77" s="51"/>
      <c r="B77" s="299"/>
      <c r="C77" s="279"/>
      <c r="D77" s="279"/>
      <c r="E77" s="279"/>
      <c r="F77" s="67" t="s">
        <v>96</v>
      </c>
      <c r="G77" s="68">
        <f>IF(E74&lt;0.125,"NA",IF(0.125&lt;=E74,(0.8*E74)))</f>
        <v>0.13200000000000001</v>
      </c>
      <c r="H77" s="69"/>
      <c r="I77" s="70"/>
      <c r="J77" s="71">
        <v>0.29299999999999998</v>
      </c>
      <c r="K77" s="279"/>
      <c r="L77" s="279"/>
      <c r="M77" s="279"/>
      <c r="N77" s="279"/>
      <c r="O77" s="279"/>
      <c r="P77" s="284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s="61" customFormat="1" ht="13.5" customHeight="1" thickBot="1" x14ac:dyDescent="0.3">
      <c r="A78" s="51"/>
      <c r="B78" s="300"/>
      <c r="C78" s="280"/>
      <c r="D78" s="280"/>
      <c r="E78" s="280"/>
      <c r="F78" s="72" t="s">
        <v>97</v>
      </c>
      <c r="G78" s="73">
        <f>+E74</f>
        <v>0.16500000000000001</v>
      </c>
      <c r="H78" s="74"/>
      <c r="I78" s="75"/>
      <c r="J78" s="76">
        <v>0.29299999999999998</v>
      </c>
      <c r="K78" s="280"/>
      <c r="L78" s="280"/>
      <c r="M78" s="280"/>
      <c r="N78" s="280"/>
      <c r="O78" s="280"/>
      <c r="P78" s="285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s="77" customFormat="1" ht="14.1" customHeight="1" x14ac:dyDescent="0.2">
      <c r="B79" s="286" t="s">
        <v>29</v>
      </c>
      <c r="C79" s="289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1"/>
    </row>
    <row r="80" spans="1:26" s="77" customFormat="1" ht="14.1" customHeight="1" x14ac:dyDescent="0.2">
      <c r="B80" s="287"/>
      <c r="C80" s="292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4"/>
    </row>
    <row r="81" spans="1:26" s="77" customFormat="1" ht="14.1" customHeight="1" x14ac:dyDescent="0.2">
      <c r="B81" s="287"/>
      <c r="C81" s="292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4"/>
    </row>
    <row r="82" spans="1:26" s="77" customFormat="1" ht="14.1" customHeight="1" x14ac:dyDescent="0.2">
      <c r="B82" s="287"/>
      <c r="C82" s="292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4"/>
    </row>
    <row r="83" spans="1:26" s="77" customFormat="1" ht="14.1" customHeight="1" x14ac:dyDescent="0.2">
      <c r="B83" s="287"/>
      <c r="C83" s="292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4"/>
    </row>
    <row r="84" spans="1:26" s="77" customFormat="1" ht="14.1" customHeight="1" thickBot="1" x14ac:dyDescent="0.25">
      <c r="B84" s="288"/>
      <c r="C84" s="295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7"/>
    </row>
    <row r="85" spans="1:26" s="77" customFormat="1" ht="28.5" customHeight="1" thickBot="1" x14ac:dyDescent="0.25">
      <c r="A85" s="78"/>
      <c r="B85" s="79" t="s">
        <v>98</v>
      </c>
      <c r="C85" s="265" t="s">
        <v>99</v>
      </c>
      <c r="D85" s="265"/>
      <c r="E85" s="265"/>
      <c r="F85" s="265"/>
      <c r="G85" s="265"/>
      <c r="H85" s="266"/>
      <c r="I85" s="267"/>
      <c r="J85" s="79" t="s">
        <v>100</v>
      </c>
      <c r="K85" s="265" t="s">
        <v>101</v>
      </c>
      <c r="L85" s="265"/>
      <c r="M85" s="265"/>
      <c r="N85" s="265"/>
      <c r="O85" s="265"/>
      <c r="P85" s="266"/>
    </row>
    <row r="86" spans="1:26" s="77" customFormat="1" ht="28.5" customHeight="1" thickBot="1" x14ac:dyDescent="0.25">
      <c r="B86" s="80" t="s">
        <v>102</v>
      </c>
      <c r="C86" s="269" t="s">
        <v>103</v>
      </c>
      <c r="D86" s="269"/>
      <c r="E86" s="269"/>
      <c r="F86" s="269"/>
      <c r="G86" s="269"/>
      <c r="H86" s="270"/>
      <c r="I86" s="268"/>
      <c r="J86" s="80" t="s">
        <v>104</v>
      </c>
      <c r="K86" s="269" t="s">
        <v>105</v>
      </c>
      <c r="L86" s="269"/>
      <c r="M86" s="269"/>
      <c r="N86" s="269"/>
      <c r="O86" s="269"/>
      <c r="P86" s="270"/>
    </row>
    <row r="87" spans="1:26" ht="13.5" customHeight="1" x14ac:dyDescent="0.25">
      <c r="A87" s="81"/>
      <c r="B87" s="271">
        <f>B34</f>
        <v>4</v>
      </c>
      <c r="C87" s="274">
        <f t="shared" ref="C87:D87" si="0">+C29</f>
        <v>5.7199999999999989</v>
      </c>
      <c r="D87" s="276">
        <f t="shared" si="0"/>
        <v>0.54500000000000004</v>
      </c>
      <c r="E87" s="276">
        <f>+E34</f>
        <v>0.55700000000000005</v>
      </c>
      <c r="F87" s="82" t="s">
        <v>93</v>
      </c>
      <c r="G87" s="82">
        <v>0.01</v>
      </c>
      <c r="H87" s="83"/>
      <c r="I87" s="84"/>
      <c r="J87" s="85">
        <v>7.3999999999999996E-2</v>
      </c>
      <c r="K87" s="277">
        <f>+AVERAGE(J87:J97)</f>
        <v>0.28272727272727272</v>
      </c>
      <c r="L87" s="256">
        <f>ROUND(+(D87+D92)/2*(C92-C87),3)</f>
        <v>0.28799999999999998</v>
      </c>
      <c r="M87" s="259">
        <f>ROUND(+K87*L87,4)</f>
        <v>8.14E-2</v>
      </c>
      <c r="N87" s="256">
        <f>ROUND(+M87/$M$98*100,2)</f>
        <v>9.01</v>
      </c>
      <c r="O87" s="256"/>
      <c r="P87" s="260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3.5" customHeight="1" x14ac:dyDescent="0.25">
      <c r="A88" s="81"/>
      <c r="B88" s="272"/>
      <c r="C88" s="257"/>
      <c r="D88" s="257"/>
      <c r="E88" s="257"/>
      <c r="F88" s="87" t="s">
        <v>106</v>
      </c>
      <c r="G88" s="88">
        <f>+E87*0.1</f>
        <v>5.5700000000000006E-2</v>
      </c>
      <c r="H88" s="89"/>
      <c r="I88" s="90"/>
      <c r="J88" s="91">
        <v>0.182</v>
      </c>
      <c r="K88" s="257"/>
      <c r="L88" s="257"/>
      <c r="M88" s="257"/>
      <c r="N88" s="257"/>
      <c r="O88" s="257"/>
      <c r="P88" s="261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3.5" customHeight="1" x14ac:dyDescent="0.25">
      <c r="A89" s="81"/>
      <c r="B89" s="272"/>
      <c r="C89" s="257"/>
      <c r="D89" s="257"/>
      <c r="E89" s="257"/>
      <c r="F89" s="87" t="s">
        <v>107</v>
      </c>
      <c r="G89" s="88">
        <f>+E87*0.2</f>
        <v>0.11140000000000001</v>
      </c>
      <c r="H89" s="89"/>
      <c r="I89" s="90"/>
      <c r="J89" s="91">
        <v>0.17899999999999999</v>
      </c>
      <c r="K89" s="257"/>
      <c r="L89" s="257"/>
      <c r="M89" s="257"/>
      <c r="N89" s="257"/>
      <c r="O89" s="257"/>
      <c r="P89" s="261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3.5" customHeight="1" x14ac:dyDescent="0.25">
      <c r="A90" s="81"/>
      <c r="B90" s="272"/>
      <c r="C90" s="257"/>
      <c r="D90" s="257"/>
      <c r="E90" s="257"/>
      <c r="F90" s="87" t="s">
        <v>108</v>
      </c>
      <c r="G90" s="88">
        <f>+E87*0.3</f>
        <v>0.1671</v>
      </c>
      <c r="H90" s="89"/>
      <c r="I90" s="90"/>
      <c r="J90" s="91">
        <v>0.25900000000000001</v>
      </c>
      <c r="K90" s="257"/>
      <c r="L90" s="257"/>
      <c r="M90" s="257"/>
      <c r="N90" s="257"/>
      <c r="O90" s="257"/>
      <c r="P90" s="261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3.5" customHeight="1" x14ac:dyDescent="0.25">
      <c r="A91" s="81"/>
      <c r="B91" s="272"/>
      <c r="C91" s="275"/>
      <c r="D91" s="275"/>
      <c r="E91" s="257"/>
      <c r="F91" s="87" t="s">
        <v>109</v>
      </c>
      <c r="G91" s="88">
        <f>+E87*0.4</f>
        <v>0.22280000000000003</v>
      </c>
      <c r="H91" s="89"/>
      <c r="I91" s="90"/>
      <c r="J91" s="91">
        <v>0.30499999999999999</v>
      </c>
      <c r="K91" s="257"/>
      <c r="L91" s="257"/>
      <c r="M91" s="257"/>
      <c r="N91" s="257"/>
      <c r="O91" s="257"/>
      <c r="P91" s="261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3.5" customHeight="1" x14ac:dyDescent="0.25">
      <c r="A92" s="81"/>
      <c r="B92" s="272"/>
      <c r="C92" s="263">
        <f t="shared" ref="C92:D92" si="1">+C34</f>
        <v>6.3199999999999985</v>
      </c>
      <c r="D92" s="264">
        <f t="shared" si="1"/>
        <v>0.41499999999999998</v>
      </c>
      <c r="E92" s="257"/>
      <c r="F92" s="87" t="s">
        <v>30</v>
      </c>
      <c r="G92" s="88">
        <f>+E87*0.5</f>
        <v>0.27850000000000003</v>
      </c>
      <c r="H92" s="89"/>
      <c r="I92" s="90"/>
      <c r="J92" s="91">
        <v>0.29199999999999998</v>
      </c>
      <c r="K92" s="257"/>
      <c r="L92" s="257"/>
      <c r="M92" s="257"/>
      <c r="N92" s="257"/>
      <c r="O92" s="257"/>
      <c r="P92" s="261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3.5" customHeight="1" x14ac:dyDescent="0.25">
      <c r="A93" s="81"/>
      <c r="B93" s="272"/>
      <c r="C93" s="257"/>
      <c r="D93" s="257"/>
      <c r="E93" s="257"/>
      <c r="F93" s="87" t="s">
        <v>110</v>
      </c>
      <c r="G93" s="88">
        <f>+E87*0.6</f>
        <v>0.3342</v>
      </c>
      <c r="H93" s="89"/>
      <c r="I93" s="90"/>
      <c r="J93" s="91">
        <v>0.32900000000000001</v>
      </c>
      <c r="K93" s="257"/>
      <c r="L93" s="257"/>
      <c r="M93" s="257"/>
      <c r="N93" s="257"/>
      <c r="O93" s="257"/>
      <c r="P93" s="261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3.5" customHeight="1" x14ac:dyDescent="0.25">
      <c r="A94" s="81"/>
      <c r="B94" s="272"/>
      <c r="C94" s="257"/>
      <c r="D94" s="257"/>
      <c r="E94" s="257"/>
      <c r="F94" s="87" t="s">
        <v>111</v>
      </c>
      <c r="G94" s="88">
        <f>+E87*0.7</f>
        <v>0.38990000000000002</v>
      </c>
      <c r="H94" s="89"/>
      <c r="I94" s="90"/>
      <c r="J94" s="91">
        <v>0.33</v>
      </c>
      <c r="K94" s="257"/>
      <c r="L94" s="257"/>
      <c r="M94" s="257"/>
      <c r="N94" s="257"/>
      <c r="O94" s="257"/>
      <c r="P94" s="261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3.5" customHeight="1" x14ac:dyDescent="0.25">
      <c r="A95" s="81"/>
      <c r="B95" s="272"/>
      <c r="C95" s="257"/>
      <c r="D95" s="257"/>
      <c r="E95" s="257"/>
      <c r="F95" s="87" t="s">
        <v>112</v>
      </c>
      <c r="G95" s="88">
        <f>+E87*0.8</f>
        <v>0.44560000000000005</v>
      </c>
      <c r="H95" s="89"/>
      <c r="I95" s="90"/>
      <c r="J95" s="91">
        <v>0.42799999999999999</v>
      </c>
      <c r="K95" s="257"/>
      <c r="L95" s="257"/>
      <c r="M95" s="257"/>
      <c r="N95" s="257"/>
      <c r="O95" s="257"/>
      <c r="P95" s="261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3.5" customHeight="1" x14ac:dyDescent="0.25">
      <c r="A96" s="81"/>
      <c r="B96" s="272"/>
      <c r="C96" s="257"/>
      <c r="D96" s="257"/>
      <c r="E96" s="257"/>
      <c r="F96" s="87" t="s">
        <v>113</v>
      </c>
      <c r="G96" s="88">
        <f>+E87*0.9</f>
        <v>0.50130000000000008</v>
      </c>
      <c r="H96" s="89"/>
      <c r="I96" s="90"/>
      <c r="J96" s="91">
        <v>0.40100000000000002</v>
      </c>
      <c r="K96" s="257"/>
      <c r="L96" s="257"/>
      <c r="M96" s="257"/>
      <c r="N96" s="257"/>
      <c r="O96" s="257"/>
      <c r="P96" s="261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5.75" thickBot="1" x14ac:dyDescent="0.3">
      <c r="A97" s="81"/>
      <c r="B97" s="273"/>
      <c r="C97" s="258"/>
      <c r="D97" s="258"/>
      <c r="E97" s="258"/>
      <c r="F97" s="92" t="s">
        <v>31</v>
      </c>
      <c r="G97" s="92">
        <f>+E87</f>
        <v>0.55700000000000005</v>
      </c>
      <c r="H97" s="93"/>
      <c r="I97" s="94"/>
      <c r="J97" s="95">
        <v>0.33100000000000002</v>
      </c>
      <c r="K97" s="258"/>
      <c r="L97" s="258"/>
      <c r="M97" s="258"/>
      <c r="N97" s="258"/>
      <c r="O97" s="258"/>
      <c r="P97" s="262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s="77" customFormat="1" ht="12.75" x14ac:dyDescent="0.2">
      <c r="A98" s="96"/>
      <c r="B98" s="244" t="s">
        <v>32</v>
      </c>
      <c r="C98" s="244"/>
      <c r="D98" s="244"/>
      <c r="E98" s="244"/>
      <c r="F98" s="244"/>
      <c r="G98" s="244"/>
      <c r="H98" s="244"/>
      <c r="I98" s="244"/>
      <c r="J98" s="244"/>
      <c r="K98" s="97">
        <f>ROUND(+M98/L98,3)</f>
        <v>0.433</v>
      </c>
      <c r="L98" s="98">
        <f t="shared" ref="L98:M98" si="2">SUM(L19:L97)</f>
        <v>2.0859999999999999</v>
      </c>
      <c r="M98" s="99">
        <f t="shared" si="2"/>
        <v>0.90369999999999995</v>
      </c>
      <c r="N98" s="100">
        <f>ROUND(SUM(N19:N97),0)</f>
        <v>100</v>
      </c>
      <c r="O98" s="246" t="s">
        <v>33</v>
      </c>
      <c r="P98" s="248"/>
    </row>
    <row r="99" spans="1:26" s="77" customFormat="1" ht="15" customHeight="1" thickBot="1" x14ac:dyDescent="0.25">
      <c r="A99" s="96"/>
      <c r="B99" s="245"/>
      <c r="C99" s="245"/>
      <c r="D99" s="245"/>
      <c r="E99" s="245"/>
      <c r="F99" s="245"/>
      <c r="G99" s="245"/>
      <c r="H99" s="245"/>
      <c r="I99" s="245"/>
      <c r="J99" s="245"/>
      <c r="K99" s="101" t="s">
        <v>34</v>
      </c>
      <c r="L99" s="101" t="s">
        <v>114</v>
      </c>
      <c r="M99" s="101" t="s">
        <v>115</v>
      </c>
      <c r="N99" s="101" t="s">
        <v>35</v>
      </c>
      <c r="O99" s="247"/>
      <c r="P99" s="249"/>
    </row>
    <row r="100" spans="1:26" s="103" customFormat="1" ht="15" customHeight="1" thickBot="1" x14ac:dyDescent="0.3">
      <c r="A100" s="102"/>
      <c r="B100" s="250" t="s">
        <v>116</v>
      </c>
      <c r="C100" s="251"/>
      <c r="D100" s="251"/>
      <c r="E100" s="251"/>
      <c r="F100" s="252"/>
      <c r="G100" s="250" t="s">
        <v>117</v>
      </c>
      <c r="H100" s="251"/>
      <c r="I100" s="251"/>
      <c r="J100" s="251"/>
      <c r="K100" s="252"/>
      <c r="L100" s="253" t="s">
        <v>53</v>
      </c>
      <c r="M100" s="254"/>
      <c r="N100" s="254"/>
      <c r="O100" s="254"/>
      <c r="P100" s="255"/>
    </row>
    <row r="101" spans="1:26" s="103" customFormat="1" ht="15" customHeight="1" x14ac:dyDescent="0.25">
      <c r="A101" s="102"/>
      <c r="B101" s="214"/>
      <c r="C101" s="215"/>
      <c r="D101" s="215"/>
      <c r="E101" s="215"/>
      <c r="F101" s="216"/>
      <c r="G101" s="214"/>
      <c r="H101" s="215"/>
      <c r="I101" s="215"/>
      <c r="J101" s="215"/>
      <c r="K101" s="216"/>
      <c r="L101" s="223" t="s">
        <v>118</v>
      </c>
      <c r="M101" s="224"/>
      <c r="N101" s="224"/>
      <c r="O101" s="225">
        <f>+AVERAGE(E18:E78)</f>
        <v>0.31091666666666673</v>
      </c>
      <c r="P101" s="226"/>
    </row>
    <row r="102" spans="1:26" s="103" customFormat="1" ht="15" customHeight="1" thickBot="1" x14ac:dyDescent="0.3">
      <c r="A102" s="102"/>
      <c r="B102" s="217"/>
      <c r="C102" s="218"/>
      <c r="D102" s="218"/>
      <c r="E102" s="218"/>
      <c r="F102" s="219"/>
      <c r="G102" s="217"/>
      <c r="H102" s="218"/>
      <c r="I102" s="218"/>
      <c r="J102" s="218"/>
      <c r="K102" s="219"/>
      <c r="L102" s="227" t="s">
        <v>119</v>
      </c>
      <c r="M102" s="228"/>
      <c r="N102" s="228"/>
      <c r="O102" s="229">
        <f>+MAX(E18:E78)</f>
        <v>0.55700000000000005</v>
      </c>
      <c r="P102" s="230"/>
    </row>
    <row r="103" spans="1:26" s="103" customFormat="1" ht="18.600000000000001" customHeight="1" x14ac:dyDescent="0.25">
      <c r="A103" s="104"/>
      <c r="B103" s="217"/>
      <c r="C103" s="218"/>
      <c r="D103" s="218"/>
      <c r="E103" s="218"/>
      <c r="F103" s="219"/>
      <c r="G103" s="217"/>
      <c r="H103" s="218"/>
      <c r="I103" s="218"/>
      <c r="J103" s="218"/>
      <c r="K103" s="219"/>
      <c r="L103" s="231" t="s">
        <v>120</v>
      </c>
      <c r="M103" s="232"/>
      <c r="N103" s="232"/>
      <c r="O103" s="232"/>
      <c r="P103" s="233"/>
    </row>
    <row r="104" spans="1:26" s="103" customFormat="1" ht="64.5" customHeight="1" x14ac:dyDescent="0.25">
      <c r="A104" s="105"/>
      <c r="B104" s="217"/>
      <c r="C104" s="218"/>
      <c r="D104" s="218"/>
      <c r="E104" s="218"/>
      <c r="F104" s="219"/>
      <c r="G104" s="217"/>
      <c r="H104" s="218"/>
      <c r="I104" s="218"/>
      <c r="J104" s="218"/>
      <c r="K104" s="219"/>
      <c r="L104" s="234"/>
      <c r="M104" s="235"/>
      <c r="N104" s="235"/>
      <c r="O104" s="235"/>
      <c r="P104" s="236"/>
    </row>
    <row r="105" spans="1:26" s="103" customFormat="1" ht="15" customHeight="1" thickBot="1" x14ac:dyDescent="0.3">
      <c r="A105" s="102"/>
      <c r="B105" s="217"/>
      <c r="C105" s="218"/>
      <c r="D105" s="218"/>
      <c r="E105" s="218"/>
      <c r="F105" s="219"/>
      <c r="G105" s="217"/>
      <c r="H105" s="218"/>
      <c r="I105" s="218"/>
      <c r="J105" s="218"/>
      <c r="K105" s="219"/>
      <c r="L105" s="237"/>
      <c r="M105" s="238"/>
      <c r="N105" s="238"/>
      <c r="O105" s="238"/>
      <c r="P105" s="239"/>
    </row>
    <row r="106" spans="1:26" s="103" customFormat="1" ht="22.5" customHeight="1" thickBot="1" x14ac:dyDescent="0.3">
      <c r="A106" s="102"/>
      <c r="B106" s="217"/>
      <c r="C106" s="218"/>
      <c r="D106" s="218"/>
      <c r="E106" s="218"/>
      <c r="F106" s="219"/>
      <c r="G106" s="217"/>
      <c r="H106" s="218"/>
      <c r="I106" s="218"/>
      <c r="J106" s="218"/>
      <c r="K106" s="219"/>
      <c r="L106" s="240" t="s">
        <v>36</v>
      </c>
      <c r="M106" s="241"/>
      <c r="N106" s="241"/>
      <c r="O106" s="241"/>
      <c r="P106" s="106">
        <v>6.7</v>
      </c>
    </row>
    <row r="107" spans="1:26" s="103" customFormat="1" ht="32.25" customHeight="1" thickBot="1" x14ac:dyDescent="0.3">
      <c r="A107" s="102"/>
      <c r="B107" s="220"/>
      <c r="C107" s="221"/>
      <c r="D107" s="221"/>
      <c r="E107" s="221"/>
      <c r="F107" s="222"/>
      <c r="G107" s="220"/>
      <c r="H107" s="221"/>
      <c r="I107" s="221"/>
      <c r="J107" s="221"/>
      <c r="K107" s="222"/>
      <c r="L107" s="242" t="s">
        <v>121</v>
      </c>
      <c r="M107" s="243"/>
      <c r="N107" s="243"/>
      <c r="O107" s="243"/>
      <c r="P107" s="106">
        <v>0.14680000000000001</v>
      </c>
    </row>
    <row r="108" spans="1:26" ht="23.25" customHeight="1" thickBot="1" x14ac:dyDescent="0.3">
      <c r="A108" s="20"/>
      <c r="B108" s="201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</row>
    <row r="109" spans="1:26" ht="15.75" thickBot="1" x14ac:dyDescent="0.3">
      <c r="A109" s="203" t="s">
        <v>37</v>
      </c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5"/>
    </row>
    <row r="110" spans="1:26" ht="159" customHeight="1" thickBot="1" x14ac:dyDescent="0.3">
      <c r="A110" s="107"/>
      <c r="B110" s="206" t="s">
        <v>122</v>
      </c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8"/>
    </row>
    <row r="111" spans="1:26" ht="16.5" customHeight="1" thickBot="1" x14ac:dyDescent="0.3">
      <c r="A111" s="108"/>
      <c r="B111" s="209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10"/>
      <c r="Q111" s="109"/>
      <c r="R111" s="109"/>
      <c r="S111" s="109"/>
      <c r="T111" s="109"/>
    </row>
    <row r="112" spans="1:26" ht="15.75" customHeight="1" thickBot="1" x14ac:dyDescent="0.3">
      <c r="A112" s="211" t="s">
        <v>38</v>
      </c>
      <c r="B112" s="207"/>
      <c r="C112" s="212"/>
      <c r="D112" s="213" t="s">
        <v>123</v>
      </c>
      <c r="E112" s="207"/>
      <c r="F112" s="207"/>
      <c r="G112" s="207"/>
      <c r="H112" s="207"/>
      <c r="I112" s="212"/>
      <c r="J112" s="213" t="s">
        <v>39</v>
      </c>
      <c r="K112" s="212"/>
      <c r="L112" s="213"/>
      <c r="M112" s="207"/>
      <c r="N112" s="207"/>
      <c r="O112" s="207"/>
      <c r="P112" s="208"/>
      <c r="Q112" s="86"/>
      <c r="R112" s="86"/>
      <c r="S112" s="86"/>
      <c r="T112" s="86"/>
    </row>
  </sheetData>
  <mergeCells count="220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8:P108"/>
    <mergeCell ref="A109:P109"/>
    <mergeCell ref="B110:P110"/>
    <mergeCell ref="B111:P111"/>
    <mergeCell ref="A112:C112"/>
    <mergeCell ref="D112:I112"/>
    <mergeCell ref="J112:K112"/>
    <mergeCell ref="L112:P112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8"/>
  <sheetViews>
    <sheetView view="pageBreakPreview" zoomScale="90" zoomScaleSheetLayoutView="9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10"/>
    </row>
    <row r="2" spans="1:26" s="2" customFormat="1" ht="30" customHeight="1" x14ac:dyDescent="0.25">
      <c r="A2" s="585"/>
      <c r="B2" s="586"/>
      <c r="C2" s="587"/>
      <c r="D2" s="588"/>
      <c r="E2" s="589" t="s">
        <v>146</v>
      </c>
      <c r="F2" s="590"/>
      <c r="G2" s="590"/>
      <c r="H2" s="590"/>
      <c r="I2" s="590"/>
      <c r="J2" s="590"/>
      <c r="K2" s="590"/>
      <c r="L2" s="590"/>
      <c r="M2" s="590"/>
      <c r="N2" s="590"/>
      <c r="O2" s="591"/>
      <c r="P2" s="592"/>
    </row>
    <row r="3" spans="1:26" s="2" customFormat="1" ht="26.25" customHeight="1" thickBot="1" x14ac:dyDescent="0.3">
      <c r="A3" s="585"/>
      <c r="B3" s="593"/>
      <c r="C3" s="594"/>
      <c r="D3" s="595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8"/>
      <c r="P3" s="599"/>
    </row>
    <row r="4" spans="1:26" s="112" customFormat="1" ht="11.25" customHeight="1" thickBot="1" x14ac:dyDescent="0.3">
      <c r="A4" s="111"/>
      <c r="B4" s="570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19" customFormat="1" ht="31.5" customHeight="1" thickBot="1" x14ac:dyDescent="0.3">
      <c r="A5" s="113"/>
      <c r="B5" s="114" t="s">
        <v>0</v>
      </c>
      <c r="C5" s="571">
        <v>43080</v>
      </c>
      <c r="D5" s="572"/>
      <c r="E5" s="115" t="s">
        <v>1</v>
      </c>
      <c r="F5" s="116">
        <v>2</v>
      </c>
      <c r="G5" s="117" t="s">
        <v>2</v>
      </c>
      <c r="H5" s="573" t="s">
        <v>147</v>
      </c>
      <c r="I5" s="574"/>
      <c r="J5" s="574"/>
      <c r="K5" s="574"/>
      <c r="L5" s="574"/>
      <c r="M5" s="574"/>
      <c r="N5" s="574"/>
      <c r="O5" s="574"/>
      <c r="P5" s="575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s="124" customFormat="1" ht="21.75" customHeight="1" thickBot="1" x14ac:dyDescent="0.3">
      <c r="A6" s="120"/>
      <c r="B6" s="554" t="s">
        <v>3</v>
      </c>
      <c r="C6" s="555"/>
      <c r="D6" s="556" t="s">
        <v>56</v>
      </c>
      <c r="E6" s="557"/>
      <c r="F6" s="557"/>
      <c r="G6" s="557"/>
      <c r="H6" s="557"/>
      <c r="I6" s="558"/>
      <c r="J6" s="121" t="s">
        <v>4</v>
      </c>
      <c r="K6" s="559" t="s">
        <v>57</v>
      </c>
      <c r="L6" s="558"/>
      <c r="M6" s="559" t="s">
        <v>58</v>
      </c>
      <c r="N6" s="560"/>
      <c r="O6" s="122" t="s">
        <v>59</v>
      </c>
      <c r="P6" s="123">
        <v>1110</v>
      </c>
    </row>
    <row r="7" spans="1:26" s="119" customFormat="1" ht="21.75" customHeight="1" x14ac:dyDescent="0.25">
      <c r="B7" s="561" t="s">
        <v>60</v>
      </c>
      <c r="C7" s="562" t="s">
        <v>61</v>
      </c>
      <c r="D7" s="532"/>
      <c r="E7" s="125"/>
      <c r="F7" s="563" t="s">
        <v>62</v>
      </c>
      <c r="G7" s="564"/>
      <c r="H7" s="564"/>
      <c r="I7" s="564"/>
      <c r="J7" s="565" t="s">
        <v>63</v>
      </c>
      <c r="K7" s="566"/>
      <c r="L7" s="566"/>
      <c r="M7" s="567"/>
      <c r="N7" s="568" t="s">
        <v>124</v>
      </c>
      <c r="O7" s="569"/>
      <c r="P7" s="126" t="s">
        <v>65</v>
      </c>
    </row>
    <row r="8" spans="1:26" s="119" customFormat="1" ht="21.75" customHeight="1" thickBot="1" x14ac:dyDescent="0.3">
      <c r="B8" s="506"/>
      <c r="C8" s="523" t="s">
        <v>66</v>
      </c>
      <c r="D8" s="522"/>
      <c r="E8" s="127" t="s">
        <v>5</v>
      </c>
      <c r="F8" s="533" t="s">
        <v>6</v>
      </c>
      <c r="G8" s="534"/>
      <c r="H8" s="534"/>
      <c r="I8" s="534"/>
      <c r="J8" s="535"/>
      <c r="K8" s="536"/>
      <c r="L8" s="536"/>
      <c r="M8" s="537"/>
      <c r="N8" s="538"/>
      <c r="O8" s="539"/>
      <c r="P8" s="128"/>
    </row>
    <row r="9" spans="1:26" s="119" customFormat="1" ht="21.75" customHeight="1" x14ac:dyDescent="0.25">
      <c r="B9" s="540" t="s">
        <v>7</v>
      </c>
      <c r="C9" s="543" t="s">
        <v>67</v>
      </c>
      <c r="D9" s="544" t="s">
        <v>68</v>
      </c>
      <c r="E9" s="529"/>
      <c r="F9" s="129"/>
      <c r="G9" s="545" t="s">
        <v>8</v>
      </c>
      <c r="H9" s="546" t="s">
        <v>9</v>
      </c>
      <c r="I9" s="532"/>
      <c r="J9" s="130"/>
      <c r="K9" s="543" t="s">
        <v>69</v>
      </c>
      <c r="L9" s="547"/>
      <c r="M9" s="548"/>
      <c r="N9" s="549"/>
      <c r="O9" s="549"/>
      <c r="P9" s="550"/>
    </row>
    <row r="10" spans="1:26" s="119" customFormat="1" ht="21.75" customHeight="1" thickBot="1" x14ac:dyDescent="0.3">
      <c r="B10" s="541"/>
      <c r="C10" s="486"/>
      <c r="D10" s="527" t="s">
        <v>71</v>
      </c>
      <c r="E10" s="522"/>
      <c r="F10" s="131" t="s">
        <v>5</v>
      </c>
      <c r="G10" s="486"/>
      <c r="H10" s="527" t="s">
        <v>10</v>
      </c>
      <c r="I10" s="522"/>
      <c r="J10" s="132"/>
      <c r="K10" s="486"/>
      <c r="L10" s="551"/>
      <c r="M10" s="552"/>
      <c r="N10" s="552"/>
      <c r="O10" s="552"/>
      <c r="P10" s="553"/>
    </row>
    <row r="11" spans="1:26" s="119" customFormat="1" ht="21.75" customHeight="1" x14ac:dyDescent="0.25">
      <c r="A11" s="113"/>
      <c r="B11" s="541"/>
      <c r="C11" s="528" t="s">
        <v>11</v>
      </c>
      <c r="D11" s="529"/>
      <c r="E11" s="133">
        <v>0.4513888888888889</v>
      </c>
      <c r="F11" s="530" t="s">
        <v>12</v>
      </c>
      <c r="G11" s="529"/>
      <c r="H11" s="134">
        <v>1.24</v>
      </c>
      <c r="I11" s="531" t="s">
        <v>13</v>
      </c>
      <c r="J11" s="532"/>
      <c r="K11" s="134">
        <v>20</v>
      </c>
      <c r="L11" s="528" t="s">
        <v>14</v>
      </c>
      <c r="M11" s="529"/>
      <c r="N11" s="135">
        <v>8.7200000000000006</v>
      </c>
      <c r="O11" s="519" t="s">
        <v>72</v>
      </c>
      <c r="P11" s="520"/>
    </row>
    <row r="12" spans="1:26" s="119" customFormat="1" ht="21.75" customHeight="1" thickBot="1" x14ac:dyDescent="0.3">
      <c r="A12" s="113"/>
      <c r="B12" s="542"/>
      <c r="C12" s="521" t="s">
        <v>15</v>
      </c>
      <c r="D12" s="522"/>
      <c r="E12" s="133">
        <v>0.54861111111111105</v>
      </c>
      <c r="F12" s="523" t="s">
        <v>16</v>
      </c>
      <c r="G12" s="522"/>
      <c r="H12" s="134">
        <v>1.25</v>
      </c>
      <c r="I12" s="524" t="s">
        <v>17</v>
      </c>
      <c r="J12" s="522"/>
      <c r="K12" s="133">
        <v>0.4513888888888889</v>
      </c>
      <c r="L12" s="521" t="s">
        <v>18</v>
      </c>
      <c r="M12" s="522"/>
      <c r="N12" s="136">
        <v>0.8</v>
      </c>
      <c r="O12" s="525">
        <v>1.9</v>
      </c>
      <c r="P12" s="526"/>
    </row>
    <row r="13" spans="1:26" s="119" customFormat="1" ht="21.75" customHeight="1" x14ac:dyDescent="0.25">
      <c r="A13" s="113"/>
      <c r="B13" s="504" t="s">
        <v>19</v>
      </c>
      <c r="C13" s="507" t="s">
        <v>125</v>
      </c>
      <c r="D13" s="508"/>
      <c r="E13" s="508"/>
      <c r="F13" s="509" t="s">
        <v>126</v>
      </c>
      <c r="G13" s="508"/>
      <c r="H13" s="508"/>
      <c r="I13" s="508"/>
      <c r="J13" s="509" t="s">
        <v>127</v>
      </c>
      <c r="K13" s="508"/>
      <c r="L13" s="508"/>
      <c r="M13" s="508"/>
      <c r="N13" s="510" t="s">
        <v>128</v>
      </c>
      <c r="O13" s="508"/>
      <c r="P13" s="511"/>
      <c r="Q13" s="137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s="119" customFormat="1" ht="21.75" customHeight="1" x14ac:dyDescent="0.25">
      <c r="A14" s="113"/>
      <c r="B14" s="505"/>
      <c r="C14" s="512" t="s">
        <v>129</v>
      </c>
      <c r="D14" s="513"/>
      <c r="E14" s="513"/>
      <c r="F14" s="514" t="s">
        <v>130</v>
      </c>
      <c r="G14" s="513"/>
      <c r="H14" s="513"/>
      <c r="I14" s="513"/>
      <c r="J14" s="515" t="s">
        <v>131</v>
      </c>
      <c r="K14" s="513"/>
      <c r="L14" s="513"/>
      <c r="M14" s="513"/>
      <c r="N14" s="516"/>
      <c r="O14" s="501"/>
      <c r="P14" s="517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s="119" customFormat="1" ht="21.75" customHeight="1" thickBot="1" x14ac:dyDescent="0.3">
      <c r="A15" s="113"/>
      <c r="B15" s="506"/>
      <c r="C15" s="518" t="s">
        <v>132</v>
      </c>
      <c r="D15" s="488"/>
      <c r="E15" s="488"/>
      <c r="F15" s="488" t="s">
        <v>133</v>
      </c>
      <c r="G15" s="489"/>
      <c r="H15" s="489"/>
      <c r="I15" s="489"/>
      <c r="J15" s="488" t="s">
        <v>82</v>
      </c>
      <c r="K15" s="489"/>
      <c r="L15" s="489"/>
      <c r="M15" s="489"/>
      <c r="N15" s="490"/>
      <c r="O15" s="491"/>
      <c r="P15" s="492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s="119" customFormat="1" ht="21.75" customHeight="1" x14ac:dyDescent="0.25">
      <c r="A16" s="113"/>
      <c r="B16" s="493" t="s">
        <v>20</v>
      </c>
      <c r="C16" s="495" t="s">
        <v>21</v>
      </c>
      <c r="D16" s="495" t="s">
        <v>42</v>
      </c>
      <c r="E16" s="497" t="s">
        <v>22</v>
      </c>
      <c r="F16" s="498" t="s">
        <v>43</v>
      </c>
      <c r="G16" s="499"/>
      <c r="H16" s="495" t="s">
        <v>85</v>
      </c>
      <c r="I16" s="502" t="s">
        <v>86</v>
      </c>
      <c r="J16" s="138" t="s">
        <v>44</v>
      </c>
      <c r="K16" s="139"/>
      <c r="L16" s="140" t="s">
        <v>45</v>
      </c>
      <c r="M16" s="140" t="s">
        <v>46</v>
      </c>
      <c r="N16" s="140" t="s">
        <v>46</v>
      </c>
      <c r="O16" s="140" t="s">
        <v>47</v>
      </c>
      <c r="P16" s="141" t="s">
        <v>23</v>
      </c>
    </row>
    <row r="17" spans="1:26" s="119" customFormat="1" ht="21.75" customHeight="1" thickBot="1" x14ac:dyDescent="0.3">
      <c r="A17" s="142"/>
      <c r="B17" s="494"/>
      <c r="C17" s="496"/>
      <c r="D17" s="496"/>
      <c r="E17" s="496"/>
      <c r="F17" s="500"/>
      <c r="G17" s="501"/>
      <c r="H17" s="496"/>
      <c r="I17" s="503"/>
      <c r="J17" s="143" t="s">
        <v>24</v>
      </c>
      <c r="K17" s="144" t="s">
        <v>25</v>
      </c>
      <c r="L17" s="144" t="s">
        <v>48</v>
      </c>
      <c r="M17" s="144" t="s">
        <v>49</v>
      </c>
      <c r="N17" s="144" t="s">
        <v>26</v>
      </c>
      <c r="O17" s="144" t="s">
        <v>27</v>
      </c>
      <c r="P17" s="145" t="s">
        <v>28</v>
      </c>
    </row>
    <row r="18" spans="1:26" s="156" customFormat="1" ht="21.75" customHeight="1" thickBot="1" x14ac:dyDescent="0.3">
      <c r="A18" s="146"/>
      <c r="B18" s="147"/>
      <c r="C18" s="148">
        <f>+O12</f>
        <v>1.9</v>
      </c>
      <c r="D18" s="148">
        <v>2.5000000000000001E-2</v>
      </c>
      <c r="E18" s="149"/>
      <c r="F18" s="150"/>
      <c r="G18" s="151"/>
      <c r="H18" s="152"/>
      <c r="I18" s="153"/>
      <c r="J18" s="154"/>
      <c r="K18" s="149"/>
      <c r="L18" s="149"/>
      <c r="M18" s="149"/>
      <c r="N18" s="149"/>
      <c r="O18" s="149"/>
      <c r="P18" s="155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s="156" customFormat="1" ht="13.5" customHeight="1" x14ac:dyDescent="0.25">
      <c r="A19" s="146"/>
      <c r="B19" s="484">
        <v>1</v>
      </c>
      <c r="C19" s="487">
        <f>+C18+$N$12</f>
        <v>2.7</v>
      </c>
      <c r="D19" s="464">
        <v>0.113</v>
      </c>
      <c r="E19" s="464">
        <v>7.0000000000000007E-2</v>
      </c>
      <c r="F19" s="157" t="s">
        <v>93</v>
      </c>
      <c r="G19" s="158">
        <v>0</v>
      </c>
      <c r="H19" s="159"/>
      <c r="I19" s="160"/>
      <c r="J19" s="161">
        <v>0.122</v>
      </c>
      <c r="K19" s="464">
        <f>+IF(E19&lt;=0.12,(J21),(IF(E19&lt;0.16,((J20+2*J21+J22)/4),IF(E19&gt;=0.16,((J19+3*J20+2*J21+3*J22+J23)/10)))))</f>
        <v>0.121</v>
      </c>
      <c r="L19" s="464">
        <f>ROUND(+(D18+D19)/2*(C19-C18),3)</f>
        <v>5.5E-2</v>
      </c>
      <c r="M19" s="464">
        <f>ROUND(+K19*L19,4)</f>
        <v>6.7000000000000002E-3</v>
      </c>
      <c r="N19" s="467">
        <f>ROUND(+M19/$M$93*100,2)</f>
        <v>0.2</v>
      </c>
      <c r="O19" s="468"/>
      <c r="P19" s="469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s="156" customFormat="1" ht="13.5" customHeight="1" x14ac:dyDescent="0.25">
      <c r="A20" s="146"/>
      <c r="B20" s="485"/>
      <c r="C20" s="465"/>
      <c r="D20" s="465"/>
      <c r="E20" s="465"/>
      <c r="F20" s="162" t="s">
        <v>94</v>
      </c>
      <c r="G20" s="163" t="str">
        <f>IF(E19&lt;0.125,"NA",IF(0.125&lt;=E19,(0.2*E19)))</f>
        <v>NA</v>
      </c>
      <c r="H20" s="164"/>
      <c r="I20" s="165"/>
      <c r="J20" s="166"/>
      <c r="K20" s="465"/>
      <c r="L20" s="465"/>
      <c r="M20" s="465"/>
      <c r="N20" s="465"/>
      <c r="O20" s="465"/>
      <c r="P20" s="470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s="156" customFormat="1" ht="13.5" customHeight="1" x14ac:dyDescent="0.25">
      <c r="A21" s="146"/>
      <c r="B21" s="485"/>
      <c r="C21" s="465"/>
      <c r="D21" s="465"/>
      <c r="E21" s="465"/>
      <c r="F21" s="162" t="s">
        <v>95</v>
      </c>
      <c r="G21" s="163">
        <f>+E19*0.4</f>
        <v>2.8000000000000004E-2</v>
      </c>
      <c r="H21" s="164"/>
      <c r="I21" s="165"/>
      <c r="J21" s="166">
        <v>0.121</v>
      </c>
      <c r="K21" s="465"/>
      <c r="L21" s="465"/>
      <c r="M21" s="465"/>
      <c r="N21" s="465"/>
      <c r="O21" s="465"/>
      <c r="P21" s="470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s="156" customFormat="1" ht="13.5" customHeight="1" x14ac:dyDescent="0.25">
      <c r="A22" s="146"/>
      <c r="B22" s="485"/>
      <c r="C22" s="465"/>
      <c r="D22" s="465"/>
      <c r="E22" s="465"/>
      <c r="F22" s="162" t="s">
        <v>96</v>
      </c>
      <c r="G22" s="163" t="str">
        <f>IF(E19&lt;0.125,"NA",IF(0.125&lt;=E19,(0.8*E19)))</f>
        <v>NA</v>
      </c>
      <c r="H22" s="164"/>
      <c r="I22" s="165"/>
      <c r="J22" s="166"/>
      <c r="K22" s="465"/>
      <c r="L22" s="465"/>
      <c r="M22" s="465"/>
      <c r="N22" s="465"/>
      <c r="O22" s="465"/>
      <c r="P22" s="470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s="156" customFormat="1" ht="13.5" customHeight="1" thickBot="1" x14ac:dyDescent="0.3">
      <c r="A23" s="146"/>
      <c r="B23" s="486"/>
      <c r="C23" s="466"/>
      <c r="D23" s="466"/>
      <c r="E23" s="466"/>
      <c r="F23" s="167" t="s">
        <v>97</v>
      </c>
      <c r="G23" s="168">
        <f>+E19</f>
        <v>7.0000000000000007E-2</v>
      </c>
      <c r="H23" s="169"/>
      <c r="I23" s="170"/>
      <c r="J23" s="171">
        <v>0.12</v>
      </c>
      <c r="K23" s="466"/>
      <c r="L23" s="466"/>
      <c r="M23" s="466"/>
      <c r="N23" s="466"/>
      <c r="O23" s="466"/>
      <c r="P23" s="471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s="156" customFormat="1" ht="13.5" customHeight="1" x14ac:dyDescent="0.25">
      <c r="A24" s="146"/>
      <c r="B24" s="484">
        <v>2</v>
      </c>
      <c r="C24" s="487">
        <f>+C19+$N$12</f>
        <v>3.5</v>
      </c>
      <c r="D24" s="464">
        <v>0.32</v>
      </c>
      <c r="E24" s="464">
        <v>0.22</v>
      </c>
      <c r="F24" s="157" t="s">
        <v>93</v>
      </c>
      <c r="G24" s="158">
        <v>0</v>
      </c>
      <c r="H24" s="159"/>
      <c r="I24" s="160"/>
      <c r="J24" s="161">
        <v>0.39500000000000002</v>
      </c>
      <c r="K24" s="464">
        <f t="shared" ref="K24" si="0">+IF(E24&lt;=0.12,(J26),(IF(E24&lt;0.16,((J25+2*J26+J27)/4),IF(E24&gt;=0.16,((J24+3*J25+2*J26+3*J27+J28)/10)))))</f>
        <v>0.65979999999999994</v>
      </c>
      <c r="L24" s="464">
        <f>ROUND(+(D19+D24)/2*(C24-C19),3)</f>
        <v>0.17299999999999999</v>
      </c>
      <c r="M24" s="464">
        <f t="shared" ref="M24" si="1">ROUND(+K24*L24,4)</f>
        <v>0.11409999999999999</v>
      </c>
      <c r="N24" s="467">
        <f t="shared" ref="N24" si="2">ROUND(+M24/$M$93*100,2)</f>
        <v>3.33</v>
      </c>
      <c r="O24" s="468"/>
      <c r="P24" s="469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s="156" customFormat="1" ht="13.5" customHeight="1" x14ac:dyDescent="0.25">
      <c r="A25" s="146"/>
      <c r="B25" s="485"/>
      <c r="C25" s="465"/>
      <c r="D25" s="465"/>
      <c r="E25" s="465"/>
      <c r="F25" s="162" t="s">
        <v>94</v>
      </c>
      <c r="G25" s="163">
        <f t="shared" ref="G25" si="3">IF(E24&lt;0.125,"NA",IF(0.125&lt;=E24,(0.2*E24)))</f>
        <v>4.4000000000000004E-2</v>
      </c>
      <c r="H25" s="164"/>
      <c r="I25" s="165"/>
      <c r="J25" s="166">
        <v>0.626</v>
      </c>
      <c r="K25" s="465"/>
      <c r="L25" s="465"/>
      <c r="M25" s="465"/>
      <c r="N25" s="465"/>
      <c r="O25" s="465"/>
      <c r="P25" s="470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s="156" customFormat="1" ht="13.5" customHeight="1" x14ac:dyDescent="0.25">
      <c r="A26" s="146"/>
      <c r="B26" s="485"/>
      <c r="C26" s="465"/>
      <c r="D26" s="465"/>
      <c r="E26" s="465"/>
      <c r="F26" s="162" t="s">
        <v>95</v>
      </c>
      <c r="G26" s="163">
        <f t="shared" ref="G26" si="4">+E24*0.4</f>
        <v>8.8000000000000009E-2</v>
      </c>
      <c r="H26" s="164"/>
      <c r="I26" s="165"/>
      <c r="J26" s="166">
        <v>0.68600000000000005</v>
      </c>
      <c r="K26" s="465"/>
      <c r="L26" s="465"/>
      <c r="M26" s="465"/>
      <c r="N26" s="465"/>
      <c r="O26" s="465"/>
      <c r="P26" s="470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s="156" customFormat="1" ht="13.5" customHeight="1" x14ac:dyDescent="0.25">
      <c r="A27" s="146"/>
      <c r="B27" s="485"/>
      <c r="C27" s="465"/>
      <c r="D27" s="465"/>
      <c r="E27" s="465"/>
      <c r="F27" s="162" t="s">
        <v>96</v>
      </c>
      <c r="G27" s="163">
        <f t="shared" ref="G27" si="5">IF(E24&lt;0.125,"NA",IF(0.125&lt;=E24,(0.8*E24)))</f>
        <v>0.17600000000000002</v>
      </c>
      <c r="H27" s="164"/>
      <c r="I27" s="165"/>
      <c r="J27" s="166">
        <v>0.748</v>
      </c>
      <c r="K27" s="465"/>
      <c r="L27" s="465"/>
      <c r="M27" s="465"/>
      <c r="N27" s="465"/>
      <c r="O27" s="465"/>
      <c r="P27" s="470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s="156" customFormat="1" ht="13.5" customHeight="1" thickBot="1" x14ac:dyDescent="0.3">
      <c r="A28" s="146"/>
      <c r="B28" s="486"/>
      <c r="C28" s="466"/>
      <c r="D28" s="466"/>
      <c r="E28" s="466"/>
      <c r="F28" s="167" t="s">
        <v>97</v>
      </c>
      <c r="G28" s="168">
        <f t="shared" ref="G28" si="6">+E24</f>
        <v>0.22</v>
      </c>
      <c r="H28" s="169"/>
      <c r="I28" s="170"/>
      <c r="J28" s="171">
        <v>0.70899999999999996</v>
      </c>
      <c r="K28" s="466"/>
      <c r="L28" s="466"/>
      <c r="M28" s="466"/>
      <c r="N28" s="466"/>
      <c r="O28" s="466"/>
      <c r="P28" s="471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s="156" customFormat="1" ht="13.5" customHeight="1" x14ac:dyDescent="0.25">
      <c r="A29" s="146"/>
      <c r="B29" s="484">
        <v>3</v>
      </c>
      <c r="C29" s="487">
        <f>+C24+$N$12</f>
        <v>4.3</v>
      </c>
      <c r="D29" s="464">
        <v>0.46</v>
      </c>
      <c r="E29" s="464">
        <v>0.43</v>
      </c>
      <c r="F29" s="157" t="s">
        <v>93</v>
      </c>
      <c r="G29" s="158">
        <v>0</v>
      </c>
      <c r="H29" s="159"/>
      <c r="I29" s="160"/>
      <c r="J29" s="161">
        <v>0.5</v>
      </c>
      <c r="K29" s="464">
        <f t="shared" ref="K29" si="7">+IF(E29&lt;=0.12,(J31),(IF(E29&lt;0.16,((J30+2*J31+J32)/4),IF(E29&gt;=0.16,((J29+3*J30+2*J31+3*J32+J33)/10)))))</f>
        <v>0.66649999999999998</v>
      </c>
      <c r="L29" s="464">
        <f t="shared" ref="L29" si="8">ROUND(+(D24+D29)/2*(C29-C24),3)</f>
        <v>0.312</v>
      </c>
      <c r="M29" s="464">
        <f t="shared" ref="M29" si="9">ROUND(+K29*L29,4)</f>
        <v>0.2079</v>
      </c>
      <c r="N29" s="467">
        <f t="shared" ref="N29" si="10">ROUND(+M29/$M$93*100,2)</f>
        <v>6.07</v>
      </c>
      <c r="O29" s="468"/>
      <c r="P29" s="469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s="156" customFormat="1" ht="13.5" customHeight="1" x14ac:dyDescent="0.25">
      <c r="A30" s="146"/>
      <c r="B30" s="485"/>
      <c r="C30" s="465"/>
      <c r="D30" s="465"/>
      <c r="E30" s="465"/>
      <c r="F30" s="162" t="s">
        <v>94</v>
      </c>
      <c r="G30" s="163">
        <f t="shared" ref="G30" si="11">IF(E29&lt;0.125,"NA",IF(0.125&lt;=E29,(0.2*E29)))</f>
        <v>8.6000000000000007E-2</v>
      </c>
      <c r="H30" s="164"/>
      <c r="I30" s="165"/>
      <c r="J30" s="166">
        <v>0.61299999999999999</v>
      </c>
      <c r="K30" s="465"/>
      <c r="L30" s="465"/>
      <c r="M30" s="465"/>
      <c r="N30" s="465"/>
      <c r="O30" s="465"/>
      <c r="P30" s="470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s="156" customFormat="1" ht="13.5" customHeight="1" x14ac:dyDescent="0.25">
      <c r="A31" s="146"/>
      <c r="B31" s="485"/>
      <c r="C31" s="465"/>
      <c r="D31" s="465"/>
      <c r="E31" s="465"/>
      <c r="F31" s="162" t="s">
        <v>95</v>
      </c>
      <c r="G31" s="163">
        <f t="shared" ref="G31" si="12">+E29*0.4</f>
        <v>0.17200000000000001</v>
      </c>
      <c r="H31" s="164"/>
      <c r="I31" s="165"/>
      <c r="J31" s="166">
        <v>0.71799999999999997</v>
      </c>
      <c r="K31" s="465"/>
      <c r="L31" s="465"/>
      <c r="M31" s="465"/>
      <c r="N31" s="465"/>
      <c r="O31" s="465"/>
      <c r="P31" s="470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s="156" customFormat="1" ht="13.5" customHeight="1" x14ac:dyDescent="0.25">
      <c r="A32" s="146"/>
      <c r="B32" s="485"/>
      <c r="C32" s="465"/>
      <c r="D32" s="465"/>
      <c r="E32" s="465"/>
      <c r="F32" s="162" t="s">
        <v>96</v>
      </c>
      <c r="G32" s="163">
        <f t="shared" ref="G32" si="13">IF(E29&lt;0.125,"NA",IF(0.125&lt;=E29,(0.8*E29)))</f>
        <v>0.34400000000000003</v>
      </c>
      <c r="H32" s="164"/>
      <c r="I32" s="165"/>
      <c r="J32" s="166">
        <v>0.73199999999999998</v>
      </c>
      <c r="K32" s="465"/>
      <c r="L32" s="465"/>
      <c r="M32" s="465"/>
      <c r="N32" s="465"/>
      <c r="O32" s="465"/>
      <c r="P32" s="470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s="156" customFormat="1" ht="13.5" customHeight="1" thickBot="1" x14ac:dyDescent="0.3">
      <c r="A33" s="146"/>
      <c r="B33" s="486"/>
      <c r="C33" s="466"/>
      <c r="D33" s="466"/>
      <c r="E33" s="466"/>
      <c r="F33" s="167" t="s">
        <v>97</v>
      </c>
      <c r="G33" s="168">
        <f t="shared" ref="G33" si="14">+E29</f>
        <v>0.43</v>
      </c>
      <c r="H33" s="169"/>
      <c r="I33" s="170"/>
      <c r="J33" s="171">
        <v>0.69399999999999995</v>
      </c>
      <c r="K33" s="466"/>
      <c r="L33" s="466"/>
      <c r="M33" s="466"/>
      <c r="N33" s="466"/>
      <c r="O33" s="466"/>
      <c r="P33" s="471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s="156" customFormat="1" ht="13.5" customHeight="1" x14ac:dyDescent="0.25">
      <c r="A34" s="146"/>
      <c r="B34" s="484">
        <v>4</v>
      </c>
      <c r="C34" s="487">
        <f>+C29+$N$12</f>
        <v>5.0999999999999996</v>
      </c>
      <c r="D34" s="464">
        <v>0.65100000000000002</v>
      </c>
      <c r="E34" s="464">
        <v>0.65500000000000003</v>
      </c>
      <c r="F34" s="157" t="s">
        <v>93</v>
      </c>
      <c r="G34" s="158">
        <v>0</v>
      </c>
      <c r="H34" s="159"/>
      <c r="I34" s="160"/>
      <c r="J34" s="161">
        <v>0.71399999999999997</v>
      </c>
      <c r="K34" s="464">
        <f t="shared" ref="K34" si="15">+IF(E34&lt;=0.12,(J36),(IF(E34&lt;0.16,((J35+2*J36+J37)/4),IF(E34&gt;=0.16,((J34+3*J35+2*J36+3*J37+J38)/10)))))</f>
        <v>0.97699999999999998</v>
      </c>
      <c r="L34" s="464">
        <f t="shared" ref="L34" si="16">ROUND(+(D29+D34)/2*(C34-C29),3)</f>
        <v>0.44400000000000001</v>
      </c>
      <c r="M34" s="464">
        <f t="shared" ref="M34" si="17">ROUND(+K34*L34,4)</f>
        <v>0.43380000000000002</v>
      </c>
      <c r="N34" s="467">
        <f t="shared" ref="N34" si="18">ROUND(+M34/$M$93*100,2)</f>
        <v>12.66</v>
      </c>
      <c r="O34" s="468"/>
      <c r="P34" s="469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s="156" customFormat="1" ht="13.5" customHeight="1" x14ac:dyDescent="0.25">
      <c r="A35" s="146"/>
      <c r="B35" s="485"/>
      <c r="C35" s="465"/>
      <c r="D35" s="465"/>
      <c r="E35" s="465"/>
      <c r="F35" s="162" t="s">
        <v>94</v>
      </c>
      <c r="G35" s="163">
        <f t="shared" ref="G35" si="19">IF(E34&lt;0.125,"NA",IF(0.125&lt;=E34,(0.2*E34)))</f>
        <v>0.13100000000000001</v>
      </c>
      <c r="H35" s="164"/>
      <c r="I35" s="165"/>
      <c r="J35" s="166">
        <v>0.94899999999999995</v>
      </c>
      <c r="K35" s="465"/>
      <c r="L35" s="465"/>
      <c r="M35" s="465"/>
      <c r="N35" s="465"/>
      <c r="O35" s="465"/>
      <c r="P35" s="470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s="156" customFormat="1" ht="13.5" customHeight="1" x14ac:dyDescent="0.25">
      <c r="A36" s="146"/>
      <c r="B36" s="485"/>
      <c r="C36" s="465"/>
      <c r="D36" s="465"/>
      <c r="E36" s="465"/>
      <c r="F36" s="162" t="s">
        <v>95</v>
      </c>
      <c r="G36" s="163">
        <f t="shared" ref="G36" si="20">+E34*0.4</f>
        <v>0.26200000000000001</v>
      </c>
      <c r="H36" s="164"/>
      <c r="I36" s="165"/>
      <c r="J36" s="166">
        <v>0.99299999999999999</v>
      </c>
      <c r="K36" s="465"/>
      <c r="L36" s="465"/>
      <c r="M36" s="465"/>
      <c r="N36" s="465"/>
      <c r="O36" s="465"/>
      <c r="P36" s="470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s="156" customFormat="1" ht="13.5" customHeight="1" x14ac:dyDescent="0.25">
      <c r="A37" s="146"/>
      <c r="B37" s="485"/>
      <c r="C37" s="465"/>
      <c r="D37" s="465"/>
      <c r="E37" s="465"/>
      <c r="F37" s="162" t="s">
        <v>96</v>
      </c>
      <c r="G37" s="163">
        <f t="shared" ref="G37" si="21">IF(E34&lt;0.125,"NA",IF(0.125&lt;=E34,(0.8*E34)))</f>
        <v>0.52400000000000002</v>
      </c>
      <c r="H37" s="164"/>
      <c r="I37" s="165"/>
      <c r="J37" s="166">
        <v>1.0529999999999999</v>
      </c>
      <c r="K37" s="465"/>
      <c r="L37" s="465"/>
      <c r="M37" s="465"/>
      <c r="N37" s="465"/>
      <c r="O37" s="465"/>
      <c r="P37" s="470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s="156" customFormat="1" ht="13.5" customHeight="1" thickBot="1" x14ac:dyDescent="0.3">
      <c r="A38" s="146"/>
      <c r="B38" s="486"/>
      <c r="C38" s="466"/>
      <c r="D38" s="466"/>
      <c r="E38" s="466"/>
      <c r="F38" s="167" t="s">
        <v>97</v>
      </c>
      <c r="G38" s="168">
        <f t="shared" ref="G38" si="22">+E34</f>
        <v>0.65500000000000003</v>
      </c>
      <c r="H38" s="169"/>
      <c r="I38" s="170"/>
      <c r="J38" s="171">
        <v>1.0640000000000001</v>
      </c>
      <c r="K38" s="466"/>
      <c r="L38" s="466"/>
      <c r="M38" s="466"/>
      <c r="N38" s="466"/>
      <c r="O38" s="466"/>
      <c r="P38" s="471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s="156" customFormat="1" ht="13.5" customHeight="1" x14ac:dyDescent="0.25">
      <c r="A39" s="146"/>
      <c r="B39" s="484">
        <v>5</v>
      </c>
      <c r="C39" s="487">
        <f>+C34+$N$12</f>
        <v>5.8999999999999995</v>
      </c>
      <c r="D39" s="464">
        <v>0.65300000000000002</v>
      </c>
      <c r="E39" s="464">
        <v>0.69499999999999995</v>
      </c>
      <c r="F39" s="157" t="s">
        <v>93</v>
      </c>
      <c r="G39" s="158">
        <v>0</v>
      </c>
      <c r="H39" s="159"/>
      <c r="I39" s="160"/>
      <c r="J39" s="161"/>
      <c r="K39" s="464"/>
      <c r="L39" s="464"/>
      <c r="M39" s="464"/>
      <c r="N39" s="467"/>
      <c r="O39" s="468"/>
      <c r="P39" s="469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s="156" customFormat="1" ht="13.5" customHeight="1" x14ac:dyDescent="0.25">
      <c r="A40" s="146"/>
      <c r="B40" s="485"/>
      <c r="C40" s="465"/>
      <c r="D40" s="465"/>
      <c r="E40" s="465"/>
      <c r="F40" s="162" t="s">
        <v>94</v>
      </c>
      <c r="G40" s="163">
        <f t="shared" ref="G40" si="23">IF(E39&lt;0.125,"NA",IF(0.125&lt;=E39,(0.2*E39)))</f>
        <v>0.13899999999999998</v>
      </c>
      <c r="H40" s="164"/>
      <c r="I40" s="165"/>
      <c r="J40" s="166"/>
      <c r="K40" s="465"/>
      <c r="L40" s="465"/>
      <c r="M40" s="465"/>
      <c r="N40" s="465"/>
      <c r="O40" s="465"/>
      <c r="P40" s="470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s="156" customFormat="1" ht="13.5" customHeight="1" x14ac:dyDescent="0.25">
      <c r="A41" s="146"/>
      <c r="B41" s="485"/>
      <c r="C41" s="465"/>
      <c r="D41" s="465"/>
      <c r="E41" s="465"/>
      <c r="F41" s="162" t="s">
        <v>95</v>
      </c>
      <c r="G41" s="163">
        <f t="shared" ref="G41" si="24">+E39*0.4</f>
        <v>0.27799999999999997</v>
      </c>
      <c r="H41" s="164"/>
      <c r="I41" s="165"/>
      <c r="J41" s="166"/>
      <c r="K41" s="465"/>
      <c r="L41" s="465"/>
      <c r="M41" s="465"/>
      <c r="N41" s="465"/>
      <c r="O41" s="465"/>
      <c r="P41" s="470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s="156" customFormat="1" ht="13.5" customHeight="1" x14ac:dyDescent="0.25">
      <c r="A42" s="146"/>
      <c r="B42" s="485"/>
      <c r="C42" s="465"/>
      <c r="D42" s="465"/>
      <c r="E42" s="465"/>
      <c r="F42" s="162" t="s">
        <v>96</v>
      </c>
      <c r="G42" s="163">
        <f t="shared" ref="G42" si="25">IF(E39&lt;0.125,"NA",IF(0.125&lt;=E39,(0.8*E39)))</f>
        <v>0.55599999999999994</v>
      </c>
      <c r="H42" s="164"/>
      <c r="I42" s="165"/>
      <c r="J42" s="166"/>
      <c r="K42" s="465"/>
      <c r="L42" s="465"/>
      <c r="M42" s="465"/>
      <c r="N42" s="465"/>
      <c r="O42" s="465"/>
      <c r="P42" s="470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s="156" customFormat="1" ht="13.5" customHeight="1" thickBot="1" x14ac:dyDescent="0.3">
      <c r="A43" s="146"/>
      <c r="B43" s="486"/>
      <c r="C43" s="466"/>
      <c r="D43" s="466"/>
      <c r="E43" s="466"/>
      <c r="F43" s="167" t="s">
        <v>97</v>
      </c>
      <c r="G43" s="168">
        <f t="shared" ref="G43" si="26">+E39</f>
        <v>0.69499999999999995</v>
      </c>
      <c r="H43" s="169"/>
      <c r="I43" s="170"/>
      <c r="J43" s="171"/>
      <c r="K43" s="466"/>
      <c r="L43" s="466"/>
      <c r="M43" s="466"/>
      <c r="N43" s="466"/>
      <c r="O43" s="466"/>
      <c r="P43" s="471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s="156" customFormat="1" ht="13.5" customHeight="1" x14ac:dyDescent="0.25">
      <c r="A44" s="146"/>
      <c r="B44" s="484">
        <v>6</v>
      </c>
      <c r="C44" s="487">
        <f>+C39+$N$12</f>
        <v>6.6999999999999993</v>
      </c>
      <c r="D44" s="464">
        <v>0.68100000000000005</v>
      </c>
      <c r="E44" s="464">
        <v>0.60099999999999998</v>
      </c>
      <c r="F44" s="157" t="s">
        <v>93</v>
      </c>
      <c r="G44" s="158">
        <v>0</v>
      </c>
      <c r="H44" s="159"/>
      <c r="I44" s="160"/>
      <c r="J44" s="161">
        <v>0.64900000000000002</v>
      </c>
      <c r="K44" s="464">
        <f t="shared" ref="K44" si="27">+IF(E44&lt;=0.12,(J46),(IF(E44&lt;0.16,((J45+2*J46+J47)/4),IF(E44&gt;=0.16,((J44+3*J45+2*J46+3*J47+J48)/10)))))</f>
        <v>1.0716000000000001</v>
      </c>
      <c r="L44" s="464">
        <f t="shared" ref="L44" si="28">ROUND(+(D39+D44)/2*(C44-C39),3)</f>
        <v>0.53400000000000003</v>
      </c>
      <c r="M44" s="464">
        <f t="shared" ref="M44" si="29">ROUND(+K44*L44,4)</f>
        <v>0.57220000000000004</v>
      </c>
      <c r="N44" s="467">
        <f t="shared" ref="N44" si="30">ROUND(+M44/$M$93*100,2)</f>
        <v>16.690000000000001</v>
      </c>
      <c r="O44" s="468"/>
      <c r="P44" s="469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s="156" customFormat="1" ht="13.5" customHeight="1" x14ac:dyDescent="0.25">
      <c r="A45" s="146"/>
      <c r="B45" s="485"/>
      <c r="C45" s="465"/>
      <c r="D45" s="465"/>
      <c r="E45" s="465"/>
      <c r="F45" s="162" t="s">
        <v>94</v>
      </c>
      <c r="G45" s="163">
        <f t="shared" ref="G45" si="31">IF(E44&lt;0.125,"NA",IF(0.125&lt;=E44,(0.2*E44)))</f>
        <v>0.1202</v>
      </c>
      <c r="H45" s="164"/>
      <c r="I45" s="165"/>
      <c r="J45" s="166">
        <v>1.0629999999999999</v>
      </c>
      <c r="K45" s="465"/>
      <c r="L45" s="465"/>
      <c r="M45" s="465"/>
      <c r="N45" s="465"/>
      <c r="O45" s="465"/>
      <c r="P45" s="470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s="156" customFormat="1" ht="13.5" customHeight="1" x14ac:dyDescent="0.25">
      <c r="A46" s="146"/>
      <c r="B46" s="485"/>
      <c r="C46" s="465"/>
      <c r="D46" s="465"/>
      <c r="E46" s="465"/>
      <c r="F46" s="162" t="s">
        <v>95</v>
      </c>
      <c r="G46" s="163">
        <f t="shared" ref="G46" si="32">+E44*0.4</f>
        <v>0.2404</v>
      </c>
      <c r="H46" s="164"/>
      <c r="I46" s="165"/>
      <c r="J46" s="166">
        <v>1.109</v>
      </c>
      <c r="K46" s="465"/>
      <c r="L46" s="465"/>
      <c r="M46" s="465"/>
      <c r="N46" s="465"/>
      <c r="O46" s="465"/>
      <c r="P46" s="470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s="156" customFormat="1" ht="13.5" customHeight="1" x14ac:dyDescent="0.25">
      <c r="A47" s="146"/>
      <c r="B47" s="485"/>
      <c r="C47" s="465"/>
      <c r="D47" s="465"/>
      <c r="E47" s="465"/>
      <c r="F47" s="162" t="s">
        <v>96</v>
      </c>
      <c r="G47" s="163">
        <f t="shared" ref="G47" si="33">IF(E44&lt;0.125,"NA",IF(0.125&lt;=E44,(0.8*E44)))</f>
        <v>0.48080000000000001</v>
      </c>
      <c r="H47" s="164"/>
      <c r="I47" s="165"/>
      <c r="J47" s="166">
        <v>1.157</v>
      </c>
      <c r="K47" s="465"/>
      <c r="L47" s="465"/>
      <c r="M47" s="465"/>
      <c r="N47" s="465"/>
      <c r="O47" s="465"/>
      <c r="P47" s="470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s="156" customFormat="1" ht="13.5" customHeight="1" thickBot="1" x14ac:dyDescent="0.3">
      <c r="A48" s="146"/>
      <c r="B48" s="486"/>
      <c r="C48" s="466"/>
      <c r="D48" s="466"/>
      <c r="E48" s="466"/>
      <c r="F48" s="167" t="s">
        <v>97</v>
      </c>
      <c r="G48" s="168">
        <f t="shared" ref="G48" si="34">+E44</f>
        <v>0.60099999999999998</v>
      </c>
      <c r="H48" s="169"/>
      <c r="I48" s="170"/>
      <c r="J48" s="171">
        <v>1.1890000000000001</v>
      </c>
      <c r="K48" s="466"/>
      <c r="L48" s="466"/>
      <c r="M48" s="466"/>
      <c r="N48" s="466"/>
      <c r="O48" s="466"/>
      <c r="P48" s="471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s="156" customFormat="1" ht="13.5" customHeight="1" x14ac:dyDescent="0.25">
      <c r="A49" s="146"/>
      <c r="B49" s="484">
        <v>7</v>
      </c>
      <c r="C49" s="487">
        <f>+C44+$N$12</f>
        <v>7.4999999999999991</v>
      </c>
      <c r="D49" s="464">
        <v>0.51100000000000001</v>
      </c>
      <c r="E49" s="464">
        <v>0.46600000000000003</v>
      </c>
      <c r="F49" s="157" t="s">
        <v>93</v>
      </c>
      <c r="G49" s="158">
        <v>0</v>
      </c>
      <c r="H49" s="159"/>
      <c r="I49" s="160"/>
      <c r="J49" s="161">
        <v>1.0649999999999999</v>
      </c>
      <c r="K49" s="464">
        <f t="shared" ref="K49" si="35">+IF(E49&lt;=0.12,(J51),(IF(E49&lt;0.16,((J50+2*J51+J52)/4),IF(E49&gt;=0.16,((J49+3*J50+2*J51+3*J52+J53)/10)))))</f>
        <v>1.2856999999999998</v>
      </c>
      <c r="L49" s="464">
        <f t="shared" ref="L49" si="36">ROUND(+(D44+D49)/2*(C49-C44),3)</f>
        <v>0.47699999999999998</v>
      </c>
      <c r="M49" s="464">
        <f t="shared" ref="M49" si="37">ROUND(+K49*L49,4)</f>
        <v>0.61329999999999996</v>
      </c>
      <c r="N49" s="467">
        <f t="shared" ref="N49" si="38">ROUND(+M49/$M$93*100,2)</f>
        <v>17.89</v>
      </c>
      <c r="O49" s="468"/>
      <c r="P49" s="469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s="156" customFormat="1" ht="13.5" customHeight="1" x14ac:dyDescent="0.25">
      <c r="A50" s="146"/>
      <c r="B50" s="485"/>
      <c r="C50" s="465"/>
      <c r="D50" s="465"/>
      <c r="E50" s="465"/>
      <c r="F50" s="162" t="s">
        <v>94</v>
      </c>
      <c r="G50" s="163">
        <f t="shared" ref="G50" si="39">IF(E49&lt;0.125,"NA",IF(0.125&lt;=E49,(0.2*E49)))</f>
        <v>9.3200000000000005E-2</v>
      </c>
      <c r="H50" s="164"/>
      <c r="I50" s="165"/>
      <c r="J50" s="166">
        <v>1.177</v>
      </c>
      <c r="K50" s="465"/>
      <c r="L50" s="465"/>
      <c r="M50" s="465"/>
      <c r="N50" s="465"/>
      <c r="O50" s="465"/>
      <c r="P50" s="470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s="156" customFormat="1" ht="13.5" customHeight="1" x14ac:dyDescent="0.25">
      <c r="A51" s="146"/>
      <c r="B51" s="485"/>
      <c r="C51" s="465"/>
      <c r="D51" s="465"/>
      <c r="E51" s="465"/>
      <c r="F51" s="162" t="s">
        <v>95</v>
      </c>
      <c r="G51" s="163">
        <f t="shared" ref="G51" si="40">+E49*0.4</f>
        <v>0.18640000000000001</v>
      </c>
      <c r="H51" s="164"/>
      <c r="I51" s="165"/>
      <c r="J51" s="166">
        <v>1.2549999999999999</v>
      </c>
      <c r="K51" s="465"/>
      <c r="L51" s="465"/>
      <c r="M51" s="465"/>
      <c r="N51" s="465"/>
      <c r="O51" s="465"/>
      <c r="P51" s="470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s="156" customFormat="1" ht="13.5" customHeight="1" x14ac:dyDescent="0.25">
      <c r="A52" s="146"/>
      <c r="B52" s="485"/>
      <c r="C52" s="465"/>
      <c r="D52" s="465"/>
      <c r="E52" s="465"/>
      <c r="F52" s="162" t="s">
        <v>96</v>
      </c>
      <c r="G52" s="163">
        <f t="shared" ref="G52" si="41">IF(E49&lt;0.125,"NA",IF(0.125&lt;=E49,(0.8*E49)))</f>
        <v>0.37280000000000002</v>
      </c>
      <c r="H52" s="164"/>
      <c r="I52" s="165"/>
      <c r="J52" s="166">
        <v>1.4379999999999999</v>
      </c>
      <c r="K52" s="465"/>
      <c r="L52" s="465"/>
      <c r="M52" s="465"/>
      <c r="N52" s="465"/>
      <c r="O52" s="465"/>
      <c r="P52" s="470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s="156" customFormat="1" ht="13.5" customHeight="1" thickBot="1" x14ac:dyDescent="0.3">
      <c r="A53" s="146"/>
      <c r="B53" s="486"/>
      <c r="C53" s="466"/>
      <c r="D53" s="466"/>
      <c r="E53" s="466"/>
      <c r="F53" s="167" t="s">
        <v>97</v>
      </c>
      <c r="G53" s="168">
        <f t="shared" ref="G53" si="42">+E49</f>
        <v>0.46600000000000003</v>
      </c>
      <c r="H53" s="169"/>
      <c r="I53" s="170"/>
      <c r="J53" s="171">
        <v>1.4370000000000001</v>
      </c>
      <c r="K53" s="466"/>
      <c r="L53" s="466"/>
      <c r="M53" s="466"/>
      <c r="N53" s="466"/>
      <c r="O53" s="466"/>
      <c r="P53" s="471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s="156" customFormat="1" ht="13.5" customHeight="1" x14ac:dyDescent="0.25">
      <c r="A54" s="146"/>
      <c r="B54" s="484">
        <v>8</v>
      </c>
      <c r="C54" s="487">
        <f>+C49+$N$12</f>
        <v>8.2999999999999989</v>
      </c>
      <c r="D54" s="464">
        <v>0.437</v>
      </c>
      <c r="E54" s="464">
        <v>0.438</v>
      </c>
      <c r="F54" s="157" t="s">
        <v>93</v>
      </c>
      <c r="G54" s="158">
        <v>0</v>
      </c>
      <c r="H54" s="159"/>
      <c r="I54" s="160"/>
      <c r="J54" s="161">
        <v>0.22</v>
      </c>
      <c r="K54" s="464">
        <f t="shared" ref="K54" si="43">+IF(E54&lt;=0.12,(J56),(IF(E54&lt;0.16,((J55+2*J56+J57)/4),IF(E54&gt;=0.16,((J54+3*J55+2*J56+3*J57+J58)/10)))))</f>
        <v>0.82489999999999986</v>
      </c>
      <c r="L54" s="464">
        <f t="shared" ref="L54" si="44">ROUND(+(D49+D54)/2*(C54-C49),3)</f>
        <v>0.379</v>
      </c>
      <c r="M54" s="464">
        <f t="shared" ref="M54" si="45">ROUND(+K54*L54,4)</f>
        <v>0.31259999999999999</v>
      </c>
      <c r="N54" s="467">
        <f t="shared" ref="N54" si="46">ROUND(+M54/$M$93*100,2)</f>
        <v>9.1199999999999992</v>
      </c>
      <c r="O54" s="468"/>
      <c r="P54" s="469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s="156" customFormat="1" ht="13.5" customHeight="1" x14ac:dyDescent="0.25">
      <c r="A55" s="146"/>
      <c r="B55" s="485"/>
      <c r="C55" s="465"/>
      <c r="D55" s="465"/>
      <c r="E55" s="465"/>
      <c r="F55" s="162" t="s">
        <v>94</v>
      </c>
      <c r="G55" s="163">
        <f t="shared" ref="G55" si="47">IF(E54&lt;0.125,"NA",IF(0.125&lt;=E54,(0.2*E54)))</f>
        <v>8.7600000000000011E-2</v>
      </c>
      <c r="H55" s="164"/>
      <c r="I55" s="165"/>
      <c r="J55" s="166">
        <v>0.65100000000000002</v>
      </c>
      <c r="K55" s="465"/>
      <c r="L55" s="465"/>
      <c r="M55" s="465"/>
      <c r="N55" s="465"/>
      <c r="O55" s="465"/>
      <c r="P55" s="470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s="156" customFormat="1" ht="13.5" customHeight="1" x14ac:dyDescent="0.25">
      <c r="A56" s="146"/>
      <c r="B56" s="485"/>
      <c r="C56" s="465"/>
      <c r="D56" s="465"/>
      <c r="E56" s="465"/>
      <c r="F56" s="162" t="s">
        <v>95</v>
      </c>
      <c r="G56" s="163">
        <f t="shared" ref="G56" si="48">+E54*0.4</f>
        <v>0.17520000000000002</v>
      </c>
      <c r="H56" s="164"/>
      <c r="I56" s="165"/>
      <c r="J56" s="166">
        <v>0.81899999999999995</v>
      </c>
      <c r="K56" s="465"/>
      <c r="L56" s="465"/>
      <c r="M56" s="465"/>
      <c r="N56" s="465"/>
      <c r="O56" s="465"/>
      <c r="P56" s="470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s="156" customFormat="1" ht="13.5" customHeight="1" x14ac:dyDescent="0.25">
      <c r="A57" s="146"/>
      <c r="B57" s="485"/>
      <c r="C57" s="465"/>
      <c r="D57" s="465"/>
      <c r="E57" s="465"/>
      <c r="F57" s="162" t="s">
        <v>96</v>
      </c>
      <c r="G57" s="163">
        <f t="shared" ref="G57" si="49">IF(E54&lt;0.125,"NA",IF(0.125&lt;=E54,(0.8*E54)))</f>
        <v>0.35040000000000004</v>
      </c>
      <c r="H57" s="164"/>
      <c r="I57" s="165"/>
      <c r="J57" s="166">
        <v>1.1439999999999999</v>
      </c>
      <c r="K57" s="465"/>
      <c r="L57" s="465"/>
      <c r="M57" s="465"/>
      <c r="N57" s="465"/>
      <c r="O57" s="465"/>
      <c r="P57" s="470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s="156" customFormat="1" ht="13.5" customHeight="1" thickBot="1" x14ac:dyDescent="0.3">
      <c r="A58" s="146"/>
      <c r="B58" s="486"/>
      <c r="C58" s="466"/>
      <c r="D58" s="466"/>
      <c r="E58" s="466"/>
      <c r="F58" s="167" t="s">
        <v>97</v>
      </c>
      <c r="G58" s="168">
        <f t="shared" ref="G58" si="50">+E54</f>
        <v>0.438</v>
      </c>
      <c r="H58" s="169"/>
      <c r="I58" s="170"/>
      <c r="J58" s="171">
        <v>1.006</v>
      </c>
      <c r="K58" s="466"/>
      <c r="L58" s="466"/>
      <c r="M58" s="466"/>
      <c r="N58" s="466"/>
      <c r="O58" s="466"/>
      <c r="P58" s="471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s="156" customFormat="1" ht="13.5" customHeight="1" x14ac:dyDescent="0.25">
      <c r="A59" s="146"/>
      <c r="B59" s="484">
        <v>9</v>
      </c>
      <c r="C59" s="487">
        <f>+C54+$N$12</f>
        <v>9.1</v>
      </c>
      <c r="D59" s="464">
        <v>0.53900000000000003</v>
      </c>
      <c r="E59" s="464">
        <v>0.43</v>
      </c>
      <c r="F59" s="157" t="s">
        <v>93</v>
      </c>
      <c r="G59" s="158">
        <v>0</v>
      </c>
      <c r="H59" s="159"/>
      <c r="I59" s="160"/>
      <c r="J59" s="161">
        <v>0.25800000000000001</v>
      </c>
      <c r="K59" s="464">
        <f t="shared" ref="K59" si="51">+IF(E59&lt;=0.12,(J61),(IF(E59&lt;0.16,((J60+2*J61+J62)/4),IF(E59&gt;=0.16,((J59+3*J60+2*J61+3*J62+J63)/10)))))</f>
        <v>0.62920000000000009</v>
      </c>
      <c r="L59" s="464">
        <f t="shared" ref="L59" si="52">ROUND(+(D54+D59)/2*(C59-C54),3)</f>
        <v>0.39</v>
      </c>
      <c r="M59" s="464">
        <f t="shared" ref="M59" si="53">ROUND(+K59*L59,4)</f>
        <v>0.24540000000000001</v>
      </c>
      <c r="N59" s="467">
        <f t="shared" ref="N59" si="54">ROUND(+M59/$M$93*100,2)</f>
        <v>7.16</v>
      </c>
      <c r="O59" s="468"/>
      <c r="P59" s="469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s="156" customFormat="1" ht="13.5" customHeight="1" x14ac:dyDescent="0.25">
      <c r="A60" s="146"/>
      <c r="B60" s="485"/>
      <c r="C60" s="465"/>
      <c r="D60" s="465"/>
      <c r="E60" s="465"/>
      <c r="F60" s="162" t="s">
        <v>94</v>
      </c>
      <c r="G60" s="163">
        <f t="shared" ref="G60" si="55">IF(E59&lt;0.125,"NA",IF(0.125&lt;=E59,(0.2*E59)))</f>
        <v>8.6000000000000007E-2</v>
      </c>
      <c r="H60" s="164"/>
      <c r="I60" s="165"/>
      <c r="J60" s="166">
        <v>0.47099999999999997</v>
      </c>
      <c r="K60" s="465"/>
      <c r="L60" s="465"/>
      <c r="M60" s="465"/>
      <c r="N60" s="465"/>
      <c r="O60" s="465"/>
      <c r="P60" s="470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s="156" customFormat="1" ht="13.5" customHeight="1" x14ac:dyDescent="0.25">
      <c r="A61" s="146"/>
      <c r="B61" s="485"/>
      <c r="C61" s="465"/>
      <c r="D61" s="465"/>
      <c r="E61" s="465"/>
      <c r="F61" s="162" t="s">
        <v>95</v>
      </c>
      <c r="G61" s="163">
        <f t="shared" ref="G61" si="56">+E59*0.4</f>
        <v>0.17200000000000001</v>
      </c>
      <c r="H61" s="164"/>
      <c r="I61" s="165"/>
      <c r="J61" s="166">
        <v>0.58099999999999996</v>
      </c>
      <c r="K61" s="465"/>
      <c r="L61" s="465"/>
      <c r="M61" s="465"/>
      <c r="N61" s="465"/>
      <c r="O61" s="465"/>
      <c r="P61" s="470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s="156" customFormat="1" ht="13.5" customHeight="1" x14ac:dyDescent="0.25">
      <c r="A62" s="146"/>
      <c r="B62" s="485"/>
      <c r="C62" s="465"/>
      <c r="D62" s="465"/>
      <c r="E62" s="465"/>
      <c r="F62" s="162" t="s">
        <v>96</v>
      </c>
      <c r="G62" s="163">
        <f t="shared" ref="G62" si="57">IF(E59&lt;0.125,"NA",IF(0.125&lt;=E59,(0.8*E59)))</f>
        <v>0.34400000000000003</v>
      </c>
      <c r="H62" s="164"/>
      <c r="I62" s="165"/>
      <c r="J62" s="166">
        <v>0.86099999999999999</v>
      </c>
      <c r="K62" s="465"/>
      <c r="L62" s="465"/>
      <c r="M62" s="465"/>
      <c r="N62" s="465"/>
      <c r="O62" s="465"/>
      <c r="P62" s="470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s="156" customFormat="1" ht="13.5" customHeight="1" thickBot="1" x14ac:dyDescent="0.3">
      <c r="A63" s="146"/>
      <c r="B63" s="486"/>
      <c r="C63" s="466"/>
      <c r="D63" s="466"/>
      <c r="E63" s="466"/>
      <c r="F63" s="167" t="s">
        <v>97</v>
      </c>
      <c r="G63" s="168">
        <f t="shared" ref="G63" si="58">+E59</f>
        <v>0.43</v>
      </c>
      <c r="H63" s="169"/>
      <c r="I63" s="170"/>
      <c r="J63" s="171">
        <v>0.876</v>
      </c>
      <c r="K63" s="466"/>
      <c r="L63" s="466"/>
      <c r="M63" s="466"/>
      <c r="N63" s="466"/>
      <c r="O63" s="466"/>
      <c r="P63" s="471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s="156" customFormat="1" ht="13.5" customHeight="1" x14ac:dyDescent="0.25">
      <c r="A64" s="146"/>
      <c r="B64" s="484">
        <v>10</v>
      </c>
      <c r="C64" s="487">
        <f>+C59+$N$12</f>
        <v>9.9</v>
      </c>
      <c r="D64" s="464">
        <v>0.51200000000000001</v>
      </c>
      <c r="E64" s="464">
        <v>0.52800000000000002</v>
      </c>
      <c r="F64" s="157" t="s">
        <v>93</v>
      </c>
      <c r="G64" s="158">
        <v>0</v>
      </c>
      <c r="H64" s="159"/>
      <c r="I64" s="160"/>
      <c r="J64" s="161">
        <v>0.57399999999999995</v>
      </c>
      <c r="K64" s="464">
        <f t="shared" ref="K64" si="59">+IF(E64&lt;=0.12,(J66),(IF(E64&lt;0.16,((J65+2*J66+J67)/4),IF(E64&gt;=0.16,((J64+3*J65+2*J66+3*J67+J68)/10)))))</f>
        <v>0.65859999999999996</v>
      </c>
      <c r="L64" s="464">
        <f t="shared" ref="L64" si="60">ROUND(+(D59+D64)/2*(C64-C59),3)</f>
        <v>0.42</v>
      </c>
      <c r="M64" s="464">
        <f t="shared" ref="M64" si="61">ROUND(+K64*L64,4)</f>
        <v>0.27660000000000001</v>
      </c>
      <c r="N64" s="467">
        <f t="shared" ref="N64" si="62">ROUND(+M64/$M$93*100,2)</f>
        <v>8.07</v>
      </c>
      <c r="O64" s="468"/>
      <c r="P64" s="469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s="156" customFormat="1" ht="13.5" customHeight="1" x14ac:dyDescent="0.25">
      <c r="A65" s="146"/>
      <c r="B65" s="485"/>
      <c r="C65" s="465"/>
      <c r="D65" s="465"/>
      <c r="E65" s="465"/>
      <c r="F65" s="162" t="s">
        <v>94</v>
      </c>
      <c r="G65" s="163">
        <f t="shared" ref="G65" si="63">IF(E64&lt;0.125,"NA",IF(0.125&lt;=E64,(0.2*E64)))</f>
        <v>0.10560000000000001</v>
      </c>
      <c r="H65" s="164"/>
      <c r="I65" s="165"/>
      <c r="J65" s="166">
        <v>0.628</v>
      </c>
      <c r="K65" s="465"/>
      <c r="L65" s="465"/>
      <c r="M65" s="465"/>
      <c r="N65" s="465"/>
      <c r="O65" s="465"/>
      <c r="P65" s="470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s="156" customFormat="1" ht="13.5" customHeight="1" x14ac:dyDescent="0.25">
      <c r="A66" s="146"/>
      <c r="B66" s="485"/>
      <c r="C66" s="465"/>
      <c r="D66" s="465"/>
      <c r="E66" s="465"/>
      <c r="F66" s="162" t="s">
        <v>95</v>
      </c>
      <c r="G66" s="163">
        <f t="shared" ref="G66" si="64">+E64*0.4</f>
        <v>0.21120000000000003</v>
      </c>
      <c r="H66" s="164"/>
      <c r="I66" s="165"/>
      <c r="J66" s="166">
        <v>0.67300000000000004</v>
      </c>
      <c r="K66" s="465"/>
      <c r="L66" s="465"/>
      <c r="M66" s="465"/>
      <c r="N66" s="465"/>
      <c r="O66" s="465"/>
      <c r="P66" s="470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s="156" customFormat="1" ht="13.5" customHeight="1" x14ac:dyDescent="0.25">
      <c r="A67" s="146"/>
      <c r="B67" s="485"/>
      <c r="C67" s="465"/>
      <c r="D67" s="465"/>
      <c r="E67" s="465"/>
      <c r="F67" s="162" t="s">
        <v>96</v>
      </c>
      <c r="G67" s="163">
        <f t="shared" ref="G67" si="65">IF(E64&lt;0.125,"NA",IF(0.125&lt;=E64,(0.8*E64)))</f>
        <v>0.42240000000000005</v>
      </c>
      <c r="H67" s="164"/>
      <c r="I67" s="165"/>
      <c r="J67" s="166">
        <v>0.71299999999999997</v>
      </c>
      <c r="K67" s="465"/>
      <c r="L67" s="465"/>
      <c r="M67" s="465"/>
      <c r="N67" s="465"/>
      <c r="O67" s="465"/>
      <c r="P67" s="470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s="156" customFormat="1" ht="13.5" customHeight="1" thickBot="1" x14ac:dyDescent="0.3">
      <c r="A68" s="146"/>
      <c r="B68" s="486"/>
      <c r="C68" s="466"/>
      <c r="D68" s="466"/>
      <c r="E68" s="466"/>
      <c r="F68" s="167" t="s">
        <v>97</v>
      </c>
      <c r="G68" s="168">
        <f t="shared" ref="G68" si="66">+E64</f>
        <v>0.52800000000000002</v>
      </c>
      <c r="H68" s="169"/>
      <c r="I68" s="170"/>
      <c r="J68" s="171">
        <v>0.64300000000000002</v>
      </c>
      <c r="K68" s="466"/>
      <c r="L68" s="466"/>
      <c r="M68" s="466"/>
      <c r="N68" s="466"/>
      <c r="O68" s="466"/>
      <c r="P68" s="471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s="156" customFormat="1" ht="13.5" customHeight="1" x14ac:dyDescent="0.25">
      <c r="A69" s="146"/>
      <c r="B69" s="484">
        <v>11</v>
      </c>
      <c r="C69" s="487">
        <f>+C64+0.72</f>
        <v>10.620000000000001</v>
      </c>
      <c r="D69" s="464">
        <v>0.44900000000000001</v>
      </c>
      <c r="E69" s="464">
        <v>0.46300000000000002</v>
      </c>
      <c r="F69" s="157" t="s">
        <v>93</v>
      </c>
      <c r="G69" s="158">
        <v>0</v>
      </c>
      <c r="H69" s="159"/>
      <c r="I69" s="160"/>
      <c r="J69" s="161">
        <v>0.33900000000000002</v>
      </c>
      <c r="K69" s="464">
        <f t="shared" ref="K69" si="67">+IF(E69&lt;=0.12,(J71),(IF(E69&lt;0.16,((J70+2*J71+J72)/4),IF(E69&gt;=0.16,((J69+3*J70+2*J71+3*J72+J73)/10)))))</f>
        <v>0.40179999999999999</v>
      </c>
      <c r="L69" s="464">
        <f t="shared" ref="L69" si="68">ROUND(+(D64+D69)/2*(C69-C64),3)</f>
        <v>0.34599999999999997</v>
      </c>
      <c r="M69" s="464">
        <f t="shared" ref="M69" si="69">ROUND(+K69*L69,4)</f>
        <v>0.13900000000000001</v>
      </c>
      <c r="N69" s="467">
        <f t="shared" ref="N69" si="70">ROUND(+M69/$M$93*100,2)</f>
        <v>4.0599999999999996</v>
      </c>
      <c r="O69" s="468"/>
      <c r="P69" s="469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s="156" customFormat="1" ht="13.5" customHeight="1" x14ac:dyDescent="0.25">
      <c r="A70" s="146"/>
      <c r="B70" s="485"/>
      <c r="C70" s="465"/>
      <c r="D70" s="465"/>
      <c r="E70" s="465"/>
      <c r="F70" s="162" t="s">
        <v>94</v>
      </c>
      <c r="G70" s="163">
        <f t="shared" ref="G70" si="71">IF(E69&lt;0.125,"NA",IF(0.125&lt;=E69,(0.2*E69)))</f>
        <v>9.2600000000000016E-2</v>
      </c>
      <c r="H70" s="164"/>
      <c r="I70" s="165"/>
      <c r="J70" s="166">
        <v>0.38400000000000001</v>
      </c>
      <c r="K70" s="465"/>
      <c r="L70" s="465"/>
      <c r="M70" s="465"/>
      <c r="N70" s="465"/>
      <c r="O70" s="465"/>
      <c r="P70" s="470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s="156" customFormat="1" ht="13.5" customHeight="1" x14ac:dyDescent="0.25">
      <c r="A71" s="146"/>
      <c r="B71" s="485"/>
      <c r="C71" s="465"/>
      <c r="D71" s="465"/>
      <c r="E71" s="465"/>
      <c r="F71" s="162" t="s">
        <v>95</v>
      </c>
      <c r="G71" s="163">
        <f t="shared" ref="G71" si="72">+E69*0.4</f>
        <v>0.18520000000000003</v>
      </c>
      <c r="H71" s="164"/>
      <c r="I71" s="165"/>
      <c r="J71" s="166">
        <v>0.373</v>
      </c>
      <c r="K71" s="465"/>
      <c r="L71" s="465"/>
      <c r="M71" s="465"/>
      <c r="N71" s="465"/>
      <c r="O71" s="465"/>
      <c r="P71" s="470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s="156" customFormat="1" ht="13.5" customHeight="1" x14ac:dyDescent="0.25">
      <c r="A72" s="146"/>
      <c r="B72" s="485"/>
      <c r="C72" s="465"/>
      <c r="D72" s="465"/>
      <c r="E72" s="465"/>
      <c r="F72" s="162" t="s">
        <v>96</v>
      </c>
      <c r="G72" s="163">
        <f t="shared" ref="G72" si="73">IF(E69&lt;0.125,"NA",IF(0.125&lt;=E69,(0.8*E69)))</f>
        <v>0.37040000000000006</v>
      </c>
      <c r="H72" s="164"/>
      <c r="I72" s="165"/>
      <c r="J72" s="166">
        <v>0.38600000000000001</v>
      </c>
      <c r="K72" s="465"/>
      <c r="L72" s="465"/>
      <c r="M72" s="465"/>
      <c r="N72" s="465"/>
      <c r="O72" s="465"/>
      <c r="P72" s="470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s="156" customFormat="1" ht="13.5" customHeight="1" thickBot="1" x14ac:dyDescent="0.3">
      <c r="A73" s="146"/>
      <c r="B73" s="486"/>
      <c r="C73" s="466"/>
      <c r="D73" s="466"/>
      <c r="E73" s="466"/>
      <c r="F73" s="167" t="s">
        <v>97</v>
      </c>
      <c r="G73" s="168">
        <f t="shared" ref="G73" si="74">+E69</f>
        <v>0.46300000000000002</v>
      </c>
      <c r="H73" s="169"/>
      <c r="I73" s="170"/>
      <c r="J73" s="171">
        <v>0.623</v>
      </c>
      <c r="K73" s="466"/>
      <c r="L73" s="466"/>
      <c r="M73" s="466"/>
      <c r="N73" s="466"/>
      <c r="O73" s="466"/>
      <c r="P73" s="471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s="3" customFormat="1" ht="14.1" customHeight="1" x14ac:dyDescent="0.2">
      <c r="B74" s="472" t="s">
        <v>29</v>
      </c>
      <c r="C74" s="475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7"/>
    </row>
    <row r="75" spans="1:26" s="3" customFormat="1" ht="14.1" customHeight="1" x14ac:dyDescent="0.2">
      <c r="B75" s="473"/>
      <c r="C75" s="478"/>
      <c r="D75" s="479"/>
      <c r="E75" s="479"/>
      <c r="F75" s="479"/>
      <c r="G75" s="479"/>
      <c r="H75" s="479"/>
      <c r="I75" s="479"/>
      <c r="J75" s="479"/>
      <c r="K75" s="479"/>
      <c r="L75" s="479"/>
      <c r="M75" s="479"/>
      <c r="N75" s="479"/>
      <c r="O75" s="479"/>
      <c r="P75" s="480"/>
    </row>
    <row r="76" spans="1:26" s="3" customFormat="1" ht="14.1" customHeight="1" x14ac:dyDescent="0.2">
      <c r="B76" s="473"/>
      <c r="C76" s="478"/>
      <c r="D76" s="479"/>
      <c r="E76" s="479"/>
      <c r="F76" s="479"/>
      <c r="G76" s="479"/>
      <c r="H76" s="479"/>
      <c r="I76" s="479"/>
      <c r="J76" s="479"/>
      <c r="K76" s="479"/>
      <c r="L76" s="479"/>
      <c r="M76" s="479"/>
      <c r="N76" s="479"/>
      <c r="O76" s="479"/>
      <c r="P76" s="480"/>
    </row>
    <row r="77" spans="1:26" s="3" customFormat="1" ht="14.1" customHeight="1" x14ac:dyDescent="0.2">
      <c r="B77" s="473"/>
      <c r="C77" s="478"/>
      <c r="D77" s="479"/>
      <c r="E77" s="479"/>
      <c r="F77" s="479"/>
      <c r="G77" s="479"/>
      <c r="H77" s="479"/>
      <c r="I77" s="479"/>
      <c r="J77" s="479"/>
      <c r="K77" s="479"/>
      <c r="L77" s="479"/>
      <c r="M77" s="479"/>
      <c r="N77" s="479"/>
      <c r="O77" s="479"/>
      <c r="P77" s="480"/>
    </row>
    <row r="78" spans="1:26" s="3" customFormat="1" ht="14.1" customHeight="1" x14ac:dyDescent="0.2">
      <c r="B78" s="473"/>
      <c r="C78" s="478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  <c r="O78" s="479"/>
      <c r="P78" s="480"/>
    </row>
    <row r="79" spans="1:26" s="3" customFormat="1" ht="14.1" customHeight="1" thickBot="1" x14ac:dyDescent="0.25">
      <c r="B79" s="474"/>
      <c r="C79" s="481"/>
      <c r="D79" s="482"/>
      <c r="E79" s="482"/>
      <c r="F79" s="482"/>
      <c r="G79" s="482"/>
      <c r="H79" s="482"/>
      <c r="I79" s="482"/>
      <c r="J79" s="482"/>
      <c r="K79" s="482"/>
      <c r="L79" s="482"/>
      <c r="M79" s="482"/>
      <c r="N79" s="482"/>
      <c r="O79" s="482"/>
      <c r="P79" s="483"/>
    </row>
    <row r="80" spans="1:26" s="3" customFormat="1" ht="28.5" customHeight="1" thickBot="1" x14ac:dyDescent="0.25">
      <c r="A80" s="172"/>
      <c r="B80" s="173" t="s">
        <v>98</v>
      </c>
      <c r="C80" s="451" t="s">
        <v>134</v>
      </c>
      <c r="D80" s="451"/>
      <c r="E80" s="451"/>
      <c r="F80" s="451"/>
      <c r="G80" s="451"/>
      <c r="H80" s="452"/>
      <c r="I80" s="453"/>
      <c r="J80" s="173" t="s">
        <v>100</v>
      </c>
      <c r="K80" s="451" t="s">
        <v>101</v>
      </c>
      <c r="L80" s="451"/>
      <c r="M80" s="451"/>
      <c r="N80" s="451"/>
      <c r="O80" s="451"/>
      <c r="P80" s="452"/>
    </row>
    <row r="81" spans="1:26" s="3" customFormat="1" ht="28.5" customHeight="1" thickBot="1" x14ac:dyDescent="0.25">
      <c r="B81" s="174" t="s">
        <v>102</v>
      </c>
      <c r="C81" s="455" t="s">
        <v>103</v>
      </c>
      <c r="D81" s="455"/>
      <c r="E81" s="455"/>
      <c r="F81" s="455"/>
      <c r="G81" s="455"/>
      <c r="H81" s="456"/>
      <c r="I81" s="454"/>
      <c r="J81" s="174" t="s">
        <v>104</v>
      </c>
      <c r="K81" s="455" t="s">
        <v>105</v>
      </c>
      <c r="L81" s="455"/>
      <c r="M81" s="455"/>
      <c r="N81" s="455"/>
      <c r="O81" s="455"/>
      <c r="P81" s="456"/>
    </row>
    <row r="82" spans="1:26" s="112" customFormat="1" ht="13.5" customHeight="1" x14ac:dyDescent="0.25">
      <c r="A82" s="175"/>
      <c r="B82" s="457">
        <f>+B39</f>
        <v>5</v>
      </c>
      <c r="C82" s="460">
        <f>+C34</f>
        <v>5.0999999999999996</v>
      </c>
      <c r="D82" s="462">
        <f>+D34</f>
        <v>0.65100000000000002</v>
      </c>
      <c r="E82" s="462">
        <f>+E39</f>
        <v>0.69499999999999995</v>
      </c>
      <c r="F82" s="176" t="s">
        <v>93</v>
      </c>
      <c r="G82" s="176">
        <v>0.01</v>
      </c>
      <c r="H82" s="177"/>
      <c r="I82" s="178"/>
      <c r="J82" s="179">
        <v>0.71399999999999997</v>
      </c>
      <c r="K82" s="463">
        <f>+AVERAGE(J82:J92)</f>
        <v>0.96963636363636352</v>
      </c>
      <c r="L82" s="442">
        <f>ROUND(+(D82+D87)/2*(C87-C82),3)</f>
        <v>0.52200000000000002</v>
      </c>
      <c r="M82" s="445">
        <f>ROUND(+K82*L82,4)</f>
        <v>0.50619999999999998</v>
      </c>
      <c r="N82" s="442">
        <f>ROUND(+M82/$M$93*100,2)</f>
        <v>14.77</v>
      </c>
      <c r="O82" s="442"/>
      <c r="P82" s="446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s="112" customFormat="1" ht="13.5" customHeight="1" x14ac:dyDescent="0.25">
      <c r="A83" s="175"/>
      <c r="B83" s="458"/>
      <c r="C83" s="443"/>
      <c r="D83" s="443"/>
      <c r="E83" s="443"/>
      <c r="F83" s="181" t="s">
        <v>106</v>
      </c>
      <c r="G83" s="182">
        <f>+E82*0.1</f>
        <v>6.9499999999999992E-2</v>
      </c>
      <c r="H83" s="183"/>
      <c r="I83" s="184"/>
      <c r="J83" s="185">
        <v>0.85799999999999998</v>
      </c>
      <c r="K83" s="443"/>
      <c r="L83" s="443"/>
      <c r="M83" s="443"/>
      <c r="N83" s="443"/>
      <c r="O83" s="443"/>
      <c r="P83" s="447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s="112" customFormat="1" ht="13.5" customHeight="1" x14ac:dyDescent="0.25">
      <c r="A84" s="175"/>
      <c r="B84" s="458"/>
      <c r="C84" s="443"/>
      <c r="D84" s="443"/>
      <c r="E84" s="443"/>
      <c r="F84" s="181" t="s">
        <v>107</v>
      </c>
      <c r="G84" s="182">
        <f>+E82*0.2</f>
        <v>0.13899999999999998</v>
      </c>
      <c r="H84" s="183"/>
      <c r="I84" s="184"/>
      <c r="J84" s="185">
        <v>0.94899999999999995</v>
      </c>
      <c r="K84" s="443"/>
      <c r="L84" s="443"/>
      <c r="M84" s="443"/>
      <c r="N84" s="443"/>
      <c r="O84" s="443"/>
      <c r="P84" s="447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s="112" customFormat="1" ht="13.5" customHeight="1" x14ac:dyDescent="0.25">
      <c r="A85" s="175"/>
      <c r="B85" s="458"/>
      <c r="C85" s="443"/>
      <c r="D85" s="443"/>
      <c r="E85" s="443"/>
      <c r="F85" s="181" t="s">
        <v>108</v>
      </c>
      <c r="G85" s="182">
        <f>+E82*0.3</f>
        <v>0.20849999999999999</v>
      </c>
      <c r="H85" s="183"/>
      <c r="I85" s="184"/>
      <c r="J85" s="185">
        <v>0.96799999999999997</v>
      </c>
      <c r="K85" s="443"/>
      <c r="L85" s="443"/>
      <c r="M85" s="443"/>
      <c r="N85" s="443"/>
      <c r="O85" s="443"/>
      <c r="P85" s="447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s="112" customFormat="1" ht="13.5" customHeight="1" x14ac:dyDescent="0.25">
      <c r="A86" s="175"/>
      <c r="B86" s="458"/>
      <c r="C86" s="461"/>
      <c r="D86" s="461"/>
      <c r="E86" s="443"/>
      <c r="F86" s="181" t="s">
        <v>109</v>
      </c>
      <c r="G86" s="182">
        <f>+E82*0.4</f>
        <v>0.27799999999999997</v>
      </c>
      <c r="H86" s="183"/>
      <c r="I86" s="184"/>
      <c r="J86" s="185">
        <v>0.99299999999999999</v>
      </c>
      <c r="K86" s="443"/>
      <c r="L86" s="443"/>
      <c r="M86" s="443"/>
      <c r="N86" s="443"/>
      <c r="O86" s="443"/>
      <c r="P86" s="447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s="112" customFormat="1" ht="13.5" customHeight="1" x14ac:dyDescent="0.25">
      <c r="A87" s="175"/>
      <c r="B87" s="458"/>
      <c r="C87" s="449">
        <f>+C39</f>
        <v>5.8999999999999995</v>
      </c>
      <c r="D87" s="450">
        <f>+D39</f>
        <v>0.65300000000000002</v>
      </c>
      <c r="E87" s="443"/>
      <c r="F87" s="181" t="s">
        <v>30</v>
      </c>
      <c r="G87" s="182">
        <f>+E82*0.5</f>
        <v>0.34749999999999998</v>
      </c>
      <c r="H87" s="183"/>
      <c r="I87" s="184"/>
      <c r="J87" s="185">
        <v>1.014</v>
      </c>
      <c r="K87" s="443"/>
      <c r="L87" s="443"/>
      <c r="M87" s="443"/>
      <c r="N87" s="443"/>
      <c r="O87" s="443"/>
      <c r="P87" s="447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s="112" customFormat="1" ht="13.5" customHeight="1" x14ac:dyDescent="0.25">
      <c r="A88" s="175"/>
      <c r="B88" s="458"/>
      <c r="C88" s="443"/>
      <c r="D88" s="443"/>
      <c r="E88" s="443"/>
      <c r="F88" s="181" t="s">
        <v>110</v>
      </c>
      <c r="G88" s="182">
        <f>+E82*0.6</f>
        <v>0.41699999999999998</v>
      </c>
      <c r="H88" s="183"/>
      <c r="I88" s="184"/>
      <c r="J88" s="185">
        <v>0.97</v>
      </c>
      <c r="K88" s="443"/>
      <c r="L88" s="443"/>
      <c r="M88" s="443"/>
      <c r="N88" s="443"/>
      <c r="O88" s="443"/>
      <c r="P88" s="447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26" s="112" customFormat="1" ht="13.5" customHeight="1" x14ac:dyDescent="0.25">
      <c r="A89" s="175"/>
      <c r="B89" s="458"/>
      <c r="C89" s="443"/>
      <c r="D89" s="443"/>
      <c r="E89" s="443"/>
      <c r="F89" s="181" t="s">
        <v>111</v>
      </c>
      <c r="G89" s="182">
        <f>+E82*0.7</f>
        <v>0.48649999999999993</v>
      </c>
      <c r="H89" s="183"/>
      <c r="I89" s="184"/>
      <c r="J89" s="185">
        <v>0.98899999999999999</v>
      </c>
      <c r="K89" s="443"/>
      <c r="L89" s="443"/>
      <c r="M89" s="443"/>
      <c r="N89" s="443"/>
      <c r="O89" s="443"/>
      <c r="P89" s="447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26" s="112" customFormat="1" ht="13.5" customHeight="1" x14ac:dyDescent="0.25">
      <c r="A90" s="175"/>
      <c r="B90" s="458"/>
      <c r="C90" s="443"/>
      <c r="D90" s="443"/>
      <c r="E90" s="443"/>
      <c r="F90" s="181" t="s">
        <v>112</v>
      </c>
      <c r="G90" s="182">
        <f>+E82*0.8</f>
        <v>0.55599999999999994</v>
      </c>
      <c r="H90" s="183"/>
      <c r="I90" s="184"/>
      <c r="J90" s="185">
        <v>1.0529999999999999</v>
      </c>
      <c r="K90" s="443"/>
      <c r="L90" s="443"/>
      <c r="M90" s="443"/>
      <c r="N90" s="443"/>
      <c r="O90" s="443"/>
      <c r="P90" s="447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26" s="112" customFormat="1" ht="13.5" customHeight="1" x14ac:dyDescent="0.25">
      <c r="A91" s="175"/>
      <c r="B91" s="458"/>
      <c r="C91" s="443"/>
      <c r="D91" s="443"/>
      <c r="E91" s="443"/>
      <c r="F91" s="181" t="s">
        <v>113</v>
      </c>
      <c r="G91" s="182">
        <f>+E82*0.9</f>
        <v>0.62549999999999994</v>
      </c>
      <c r="H91" s="183"/>
      <c r="I91" s="184"/>
      <c r="J91" s="185">
        <v>1.032</v>
      </c>
      <c r="K91" s="443"/>
      <c r="L91" s="443"/>
      <c r="M91" s="443"/>
      <c r="N91" s="443"/>
      <c r="O91" s="443"/>
      <c r="P91" s="447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26" s="112" customFormat="1" ht="15.75" thickBot="1" x14ac:dyDescent="0.3">
      <c r="A92" s="175"/>
      <c r="B92" s="459"/>
      <c r="C92" s="444"/>
      <c r="D92" s="444"/>
      <c r="E92" s="444"/>
      <c r="F92" s="186" t="s">
        <v>31</v>
      </c>
      <c r="G92" s="186">
        <f>+E82</f>
        <v>0.69499999999999995</v>
      </c>
      <c r="H92" s="187"/>
      <c r="I92" s="188"/>
      <c r="J92" s="189">
        <v>1.1259999999999999</v>
      </c>
      <c r="K92" s="444"/>
      <c r="L92" s="444"/>
      <c r="M92" s="444"/>
      <c r="N92" s="444"/>
      <c r="O92" s="444"/>
      <c r="P92" s="448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26" s="3" customFormat="1" ht="12.75" x14ac:dyDescent="0.2">
      <c r="A93" s="11"/>
      <c r="B93" s="430" t="s">
        <v>32</v>
      </c>
      <c r="C93" s="430"/>
      <c r="D93" s="430"/>
      <c r="E93" s="430"/>
      <c r="F93" s="430"/>
      <c r="G93" s="430"/>
      <c r="H93" s="430"/>
      <c r="I93" s="430"/>
      <c r="J93" s="430"/>
      <c r="K93" s="12">
        <f>ROUND(+M93/L93,3)</f>
        <v>0.84599999999999997</v>
      </c>
      <c r="L93" s="16">
        <f>SUM(L19:L92)</f>
        <v>4.0520000000000005</v>
      </c>
      <c r="M93" s="15">
        <f>SUM(M19:M92)</f>
        <v>3.4278000000000004</v>
      </c>
      <c r="N93" s="13">
        <f>ROUND(SUM(N19:N92),0)</f>
        <v>100</v>
      </c>
      <c r="O93" s="432" t="s">
        <v>33</v>
      </c>
      <c r="P93" s="434"/>
    </row>
    <row r="94" spans="1:26" s="3" customFormat="1" ht="15" customHeight="1" thickBot="1" x14ac:dyDescent="0.25">
      <c r="A94" s="11"/>
      <c r="B94" s="431"/>
      <c r="C94" s="431"/>
      <c r="D94" s="431"/>
      <c r="E94" s="431"/>
      <c r="F94" s="431"/>
      <c r="G94" s="431"/>
      <c r="H94" s="431"/>
      <c r="I94" s="431"/>
      <c r="J94" s="431"/>
      <c r="K94" s="14" t="s">
        <v>34</v>
      </c>
      <c r="L94" s="14" t="s">
        <v>50</v>
      </c>
      <c r="M94" s="14" t="s">
        <v>51</v>
      </c>
      <c r="N94" s="14" t="s">
        <v>35</v>
      </c>
      <c r="O94" s="433"/>
      <c r="P94" s="435"/>
    </row>
    <row r="95" spans="1:26" ht="15" customHeight="1" thickBot="1" x14ac:dyDescent="0.3">
      <c r="A95" s="5"/>
      <c r="B95" s="436" t="s">
        <v>116</v>
      </c>
      <c r="C95" s="437"/>
      <c r="D95" s="437"/>
      <c r="E95" s="437"/>
      <c r="F95" s="438"/>
      <c r="G95" s="436" t="s">
        <v>117</v>
      </c>
      <c r="H95" s="437"/>
      <c r="I95" s="437"/>
      <c r="J95" s="437"/>
      <c r="K95" s="438"/>
      <c r="L95" s="439" t="s">
        <v>53</v>
      </c>
      <c r="M95" s="440"/>
      <c r="N95" s="440"/>
      <c r="O95" s="440"/>
      <c r="P95" s="441"/>
    </row>
    <row r="96" spans="1:26" ht="15" customHeight="1" x14ac:dyDescent="0.25">
      <c r="A96" s="5"/>
      <c r="B96" s="400"/>
      <c r="C96" s="401"/>
      <c r="D96" s="401"/>
      <c r="E96" s="401"/>
      <c r="F96" s="402"/>
      <c r="G96" s="400"/>
      <c r="H96" s="401"/>
      <c r="I96" s="401"/>
      <c r="J96" s="401"/>
      <c r="K96" s="402"/>
      <c r="L96" s="409" t="s">
        <v>118</v>
      </c>
      <c r="M96" s="410"/>
      <c r="N96" s="410"/>
      <c r="O96" s="411">
        <f>+AVERAGE(E18:E73)</f>
        <v>0.45418181818181813</v>
      </c>
      <c r="P96" s="412"/>
    </row>
    <row r="97" spans="1:16" ht="15" customHeight="1" thickBot="1" x14ac:dyDescent="0.3">
      <c r="A97" s="5"/>
      <c r="B97" s="403"/>
      <c r="C97" s="404"/>
      <c r="D97" s="404"/>
      <c r="E97" s="404"/>
      <c r="F97" s="405"/>
      <c r="G97" s="403"/>
      <c r="H97" s="404"/>
      <c r="I97" s="404"/>
      <c r="J97" s="404"/>
      <c r="K97" s="405"/>
      <c r="L97" s="413" t="s">
        <v>119</v>
      </c>
      <c r="M97" s="414"/>
      <c r="N97" s="414"/>
      <c r="O97" s="415">
        <f>+MAX(E18:E73)</f>
        <v>0.69499999999999995</v>
      </c>
      <c r="P97" s="416"/>
    </row>
    <row r="98" spans="1:16" ht="18.600000000000001" customHeight="1" x14ac:dyDescent="0.25">
      <c r="A98" s="6"/>
      <c r="B98" s="403"/>
      <c r="C98" s="404"/>
      <c r="D98" s="404"/>
      <c r="E98" s="404"/>
      <c r="F98" s="405"/>
      <c r="G98" s="403"/>
      <c r="H98" s="404"/>
      <c r="I98" s="404"/>
      <c r="J98" s="404"/>
      <c r="K98" s="405"/>
      <c r="L98" s="417"/>
      <c r="M98" s="418"/>
      <c r="N98" s="418"/>
      <c r="O98" s="418"/>
      <c r="P98" s="419"/>
    </row>
    <row r="99" spans="1:16" ht="61.5" customHeight="1" x14ac:dyDescent="0.25">
      <c r="A99" s="10"/>
      <c r="B99" s="403"/>
      <c r="C99" s="404"/>
      <c r="D99" s="404"/>
      <c r="E99" s="404"/>
      <c r="F99" s="405"/>
      <c r="G99" s="403"/>
      <c r="H99" s="404"/>
      <c r="I99" s="404"/>
      <c r="J99" s="404"/>
      <c r="K99" s="405"/>
      <c r="L99" s="420"/>
      <c r="M99" s="421"/>
      <c r="N99" s="421"/>
      <c r="O99" s="421"/>
      <c r="P99" s="422"/>
    </row>
    <row r="100" spans="1:16" ht="15" customHeight="1" thickBot="1" x14ac:dyDescent="0.3">
      <c r="A100" s="5"/>
      <c r="B100" s="403"/>
      <c r="C100" s="404"/>
      <c r="D100" s="404"/>
      <c r="E100" s="404"/>
      <c r="F100" s="405"/>
      <c r="G100" s="403"/>
      <c r="H100" s="404"/>
      <c r="I100" s="404"/>
      <c r="J100" s="404"/>
      <c r="K100" s="405"/>
      <c r="L100" s="423"/>
      <c r="M100" s="424"/>
      <c r="N100" s="424"/>
      <c r="O100" s="424"/>
      <c r="P100" s="425"/>
    </row>
    <row r="101" spans="1:16" ht="22.5" customHeight="1" thickBot="1" x14ac:dyDescent="0.3">
      <c r="A101" s="5"/>
      <c r="B101" s="403"/>
      <c r="C101" s="404"/>
      <c r="D101" s="404"/>
      <c r="E101" s="404"/>
      <c r="F101" s="405"/>
      <c r="G101" s="403"/>
      <c r="H101" s="404"/>
      <c r="I101" s="404"/>
      <c r="J101" s="404"/>
      <c r="K101" s="405"/>
      <c r="L101" s="426" t="s">
        <v>36</v>
      </c>
      <c r="M101" s="427"/>
      <c r="N101" s="427"/>
      <c r="O101" s="427"/>
      <c r="P101" s="190">
        <v>6.5</v>
      </c>
    </row>
    <row r="102" spans="1:16" ht="32.25" customHeight="1" thickBot="1" x14ac:dyDescent="0.3">
      <c r="A102" s="5"/>
      <c r="B102" s="406"/>
      <c r="C102" s="407"/>
      <c r="D102" s="407"/>
      <c r="E102" s="407"/>
      <c r="F102" s="408"/>
      <c r="G102" s="406"/>
      <c r="H102" s="407"/>
      <c r="I102" s="407"/>
      <c r="J102" s="407"/>
      <c r="K102" s="408"/>
      <c r="L102" s="428" t="s">
        <v>52</v>
      </c>
      <c r="M102" s="429"/>
      <c r="N102" s="429"/>
      <c r="O102" s="429"/>
      <c r="P102" s="190">
        <v>35.54</v>
      </c>
    </row>
    <row r="103" spans="1:16" ht="23.45" customHeight="1" thickBot="1" x14ac:dyDescent="0.3">
      <c r="A103" s="7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</row>
    <row r="104" spans="1:16" ht="15.75" thickBot="1" x14ac:dyDescent="0.3">
      <c r="A104" s="390" t="s">
        <v>37</v>
      </c>
      <c r="B104" s="391"/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  <c r="M104" s="391"/>
      <c r="N104" s="391"/>
      <c r="O104" s="391"/>
      <c r="P104" s="392"/>
    </row>
    <row r="105" spans="1:16" ht="159" customHeight="1" thickBot="1" x14ac:dyDescent="0.3">
      <c r="A105" s="4"/>
      <c r="B105" s="393"/>
      <c r="C105" s="394"/>
      <c r="D105" s="394"/>
      <c r="E105" s="394"/>
      <c r="F105" s="395"/>
      <c r="G105" s="393"/>
      <c r="H105" s="394"/>
      <c r="I105" s="394"/>
      <c r="J105" s="394"/>
      <c r="K105" s="395"/>
      <c r="L105" s="393"/>
      <c r="M105" s="394"/>
      <c r="N105" s="394"/>
      <c r="O105" s="394"/>
      <c r="P105" s="396"/>
    </row>
    <row r="106" spans="1:16" ht="21.75" customHeight="1" thickBot="1" x14ac:dyDescent="0.3">
      <c r="A106" s="4"/>
      <c r="B106" s="397" t="s">
        <v>135</v>
      </c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9"/>
    </row>
    <row r="107" spans="1:16" s="9" customFormat="1" ht="16.899999999999999" customHeight="1" thickBot="1" x14ac:dyDescent="0.3">
      <c r="A107" s="8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5"/>
    </row>
    <row r="108" spans="1:16" s="3" customFormat="1" ht="15.75" customHeight="1" thickBot="1" x14ac:dyDescent="0.25">
      <c r="A108" s="386" t="s">
        <v>38</v>
      </c>
      <c r="B108" s="387"/>
      <c r="C108" s="387"/>
      <c r="D108" s="387" t="s">
        <v>136</v>
      </c>
      <c r="E108" s="387"/>
      <c r="F108" s="387"/>
      <c r="G108" s="387"/>
      <c r="H108" s="387"/>
      <c r="I108" s="387"/>
      <c r="J108" s="387" t="s">
        <v>39</v>
      </c>
      <c r="K108" s="387"/>
      <c r="L108" s="387"/>
      <c r="M108" s="387"/>
      <c r="N108" s="387"/>
      <c r="O108" s="387"/>
      <c r="P108" s="388"/>
    </row>
  </sheetData>
  <mergeCells count="21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B96:F102"/>
    <mergeCell ref="G96:K102"/>
    <mergeCell ref="L96:N96"/>
    <mergeCell ref="O96:P96"/>
    <mergeCell ref="L97:N97"/>
    <mergeCell ref="O97:P97"/>
    <mergeCell ref="L98:P100"/>
    <mergeCell ref="L101:O101"/>
    <mergeCell ref="L102:O102"/>
    <mergeCell ref="B107:P107"/>
    <mergeCell ref="A108:C108"/>
    <mergeCell ref="D108:I108"/>
    <mergeCell ref="J108:K108"/>
    <mergeCell ref="L108:P108"/>
    <mergeCell ref="B103:P103"/>
    <mergeCell ref="A104:P104"/>
    <mergeCell ref="B105:F105"/>
    <mergeCell ref="G105:K105"/>
    <mergeCell ref="L105:P105"/>
    <mergeCell ref="B106:P10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140625" customWidth="1"/>
    <col min="11" max="16" width="10.7109375" customWidth="1"/>
  </cols>
  <sheetData>
    <row r="1" spans="1:26" ht="4.9000000000000004" customHeight="1" thickBot="1" x14ac:dyDescent="0.3">
      <c r="J1" s="110"/>
    </row>
    <row r="2" spans="1:26" s="2" customFormat="1" ht="30" customHeight="1" x14ac:dyDescent="0.25">
      <c r="A2" s="585"/>
      <c r="B2" s="586"/>
      <c r="C2" s="587"/>
      <c r="D2" s="588"/>
      <c r="E2" s="589" t="s">
        <v>146</v>
      </c>
      <c r="F2" s="590"/>
      <c r="G2" s="590"/>
      <c r="H2" s="590"/>
      <c r="I2" s="590"/>
      <c r="J2" s="590"/>
      <c r="K2" s="590"/>
      <c r="L2" s="590"/>
      <c r="M2" s="590"/>
      <c r="N2" s="590"/>
      <c r="O2" s="591"/>
      <c r="P2" s="592"/>
    </row>
    <row r="3" spans="1:26" s="2" customFormat="1" ht="26.25" customHeight="1" thickBot="1" x14ac:dyDescent="0.3">
      <c r="A3" s="585"/>
      <c r="B3" s="593"/>
      <c r="C3" s="594"/>
      <c r="D3" s="595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8"/>
      <c r="P3" s="599"/>
    </row>
    <row r="4" spans="1:26" s="112" customFormat="1" ht="11.25" customHeight="1" thickBot="1" x14ac:dyDescent="0.3">
      <c r="A4" s="111"/>
      <c r="B4" s="570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19" customFormat="1" ht="31.5" customHeight="1" thickBot="1" x14ac:dyDescent="0.3">
      <c r="A5" s="113"/>
      <c r="B5" s="114" t="s">
        <v>0</v>
      </c>
      <c r="C5" s="571">
        <v>43111</v>
      </c>
      <c r="D5" s="572"/>
      <c r="E5" s="115" t="s">
        <v>1</v>
      </c>
      <c r="F5" s="116">
        <v>3</v>
      </c>
      <c r="G5" s="117" t="s">
        <v>2</v>
      </c>
      <c r="H5" s="573" t="s">
        <v>147</v>
      </c>
      <c r="I5" s="574"/>
      <c r="J5" s="574"/>
      <c r="K5" s="574"/>
      <c r="L5" s="574"/>
      <c r="M5" s="574"/>
      <c r="N5" s="574"/>
      <c r="O5" s="574"/>
      <c r="P5" s="575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s="124" customFormat="1" ht="21.75" customHeight="1" thickBot="1" x14ac:dyDescent="0.3">
      <c r="A6" s="120"/>
      <c r="B6" s="554" t="s">
        <v>3</v>
      </c>
      <c r="C6" s="555"/>
      <c r="D6" s="556" t="s">
        <v>137</v>
      </c>
      <c r="E6" s="557"/>
      <c r="F6" s="557"/>
      <c r="G6" s="557"/>
      <c r="H6" s="557"/>
      <c r="I6" s="558"/>
      <c r="J6" s="121" t="s">
        <v>4</v>
      </c>
      <c r="K6" s="559" t="s">
        <v>57</v>
      </c>
      <c r="L6" s="558"/>
      <c r="M6" s="559" t="s">
        <v>58</v>
      </c>
      <c r="N6" s="560"/>
      <c r="O6" s="122" t="s">
        <v>59</v>
      </c>
      <c r="P6" s="123">
        <v>1110</v>
      </c>
    </row>
    <row r="7" spans="1:26" s="119" customFormat="1" ht="21.75" customHeight="1" x14ac:dyDescent="0.25">
      <c r="B7" s="561" t="s">
        <v>60</v>
      </c>
      <c r="C7" s="562" t="s">
        <v>61</v>
      </c>
      <c r="D7" s="532"/>
      <c r="E7" s="125"/>
      <c r="F7" s="563" t="s">
        <v>62</v>
      </c>
      <c r="G7" s="564"/>
      <c r="H7" s="564"/>
      <c r="I7" s="564"/>
      <c r="J7" s="565" t="s">
        <v>63</v>
      </c>
      <c r="K7" s="566"/>
      <c r="L7" s="566"/>
      <c r="M7" s="567"/>
      <c r="N7" s="568" t="s">
        <v>124</v>
      </c>
      <c r="O7" s="569"/>
      <c r="P7" s="126" t="s">
        <v>65</v>
      </c>
    </row>
    <row r="8" spans="1:26" s="119" customFormat="1" ht="21.75" customHeight="1" thickBot="1" x14ac:dyDescent="0.3">
      <c r="B8" s="506"/>
      <c r="C8" s="523" t="s">
        <v>66</v>
      </c>
      <c r="D8" s="522"/>
      <c r="E8" s="127" t="s">
        <v>55</v>
      </c>
      <c r="F8" s="533" t="s">
        <v>6</v>
      </c>
      <c r="G8" s="534"/>
      <c r="H8" s="534"/>
      <c r="I8" s="534"/>
      <c r="J8" s="535"/>
      <c r="K8" s="536"/>
      <c r="L8" s="536"/>
      <c r="M8" s="537"/>
      <c r="N8" s="538"/>
      <c r="O8" s="539"/>
      <c r="P8" s="128"/>
    </row>
    <row r="9" spans="1:26" s="119" customFormat="1" ht="21.75" customHeight="1" x14ac:dyDescent="0.25">
      <c r="B9" s="540" t="s">
        <v>7</v>
      </c>
      <c r="C9" s="543" t="s">
        <v>67</v>
      </c>
      <c r="D9" s="544" t="s">
        <v>68</v>
      </c>
      <c r="E9" s="529"/>
      <c r="F9" s="129"/>
      <c r="G9" s="545" t="s">
        <v>8</v>
      </c>
      <c r="H9" s="546" t="s">
        <v>9</v>
      </c>
      <c r="I9" s="532"/>
      <c r="J9" s="130" t="s">
        <v>55</v>
      </c>
      <c r="K9" s="543" t="s">
        <v>69</v>
      </c>
      <c r="L9" s="547" t="s">
        <v>70</v>
      </c>
      <c r="M9" s="548"/>
      <c r="N9" s="549"/>
      <c r="O9" s="549"/>
      <c r="P9" s="550"/>
    </row>
    <row r="10" spans="1:26" s="119" customFormat="1" ht="21.75" customHeight="1" thickBot="1" x14ac:dyDescent="0.3">
      <c r="B10" s="541"/>
      <c r="C10" s="486"/>
      <c r="D10" s="527" t="s">
        <v>71</v>
      </c>
      <c r="E10" s="522"/>
      <c r="F10" s="131" t="s">
        <v>55</v>
      </c>
      <c r="G10" s="486"/>
      <c r="H10" s="527" t="s">
        <v>10</v>
      </c>
      <c r="I10" s="522"/>
      <c r="J10" s="132"/>
      <c r="K10" s="486"/>
      <c r="L10" s="551"/>
      <c r="M10" s="552"/>
      <c r="N10" s="552"/>
      <c r="O10" s="552"/>
      <c r="P10" s="553"/>
    </row>
    <row r="11" spans="1:26" s="119" customFormat="1" ht="21.75" customHeight="1" x14ac:dyDescent="0.25">
      <c r="A11" s="113"/>
      <c r="B11" s="541"/>
      <c r="C11" s="528" t="s">
        <v>11</v>
      </c>
      <c r="D11" s="529"/>
      <c r="E11" s="133">
        <v>0.56597222222222221</v>
      </c>
      <c r="F11" s="530" t="s">
        <v>12</v>
      </c>
      <c r="G11" s="529"/>
      <c r="H11" s="134">
        <v>1.32</v>
      </c>
      <c r="I11" s="531" t="s">
        <v>13</v>
      </c>
      <c r="J11" s="532"/>
      <c r="K11" s="134">
        <v>20</v>
      </c>
      <c r="L11" s="528" t="s">
        <v>14</v>
      </c>
      <c r="M11" s="529"/>
      <c r="N11" s="135">
        <v>8</v>
      </c>
      <c r="O11" s="519" t="s">
        <v>72</v>
      </c>
      <c r="P11" s="520"/>
    </row>
    <row r="12" spans="1:26" s="119" customFormat="1" ht="21.75" customHeight="1" thickBot="1" x14ac:dyDescent="0.3">
      <c r="A12" s="113"/>
      <c r="B12" s="542"/>
      <c r="C12" s="521" t="s">
        <v>15</v>
      </c>
      <c r="D12" s="522"/>
      <c r="E12" s="133">
        <v>0.63888888888888895</v>
      </c>
      <c r="F12" s="523" t="s">
        <v>16</v>
      </c>
      <c r="G12" s="522"/>
      <c r="H12" s="134">
        <v>1.34</v>
      </c>
      <c r="I12" s="524" t="s">
        <v>17</v>
      </c>
      <c r="J12" s="522"/>
      <c r="K12" s="133">
        <v>0.5708333333333333</v>
      </c>
      <c r="L12" s="521" t="s">
        <v>18</v>
      </c>
      <c r="M12" s="522"/>
      <c r="N12" s="136">
        <v>0.8</v>
      </c>
      <c r="O12" s="525">
        <v>2.62</v>
      </c>
      <c r="P12" s="526"/>
    </row>
    <row r="13" spans="1:26" s="119" customFormat="1" ht="21.75" customHeight="1" x14ac:dyDescent="0.25">
      <c r="A13" s="113"/>
      <c r="B13" s="504" t="s">
        <v>19</v>
      </c>
      <c r="C13" s="507" t="s">
        <v>125</v>
      </c>
      <c r="D13" s="508"/>
      <c r="E13" s="508"/>
      <c r="F13" s="509" t="s">
        <v>126</v>
      </c>
      <c r="G13" s="508"/>
      <c r="H13" s="508"/>
      <c r="I13" s="508"/>
      <c r="J13" s="509" t="s">
        <v>127</v>
      </c>
      <c r="K13" s="508"/>
      <c r="L13" s="508"/>
      <c r="M13" s="508"/>
      <c r="N13" s="510" t="s">
        <v>128</v>
      </c>
      <c r="O13" s="508"/>
      <c r="P13" s="511"/>
      <c r="Q13" s="137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s="119" customFormat="1" ht="21.75" customHeight="1" x14ac:dyDescent="0.25">
      <c r="A14" s="113"/>
      <c r="B14" s="505"/>
      <c r="C14" s="512" t="s">
        <v>129</v>
      </c>
      <c r="D14" s="513"/>
      <c r="E14" s="513"/>
      <c r="F14" s="514" t="s">
        <v>130</v>
      </c>
      <c r="G14" s="513"/>
      <c r="H14" s="513"/>
      <c r="I14" s="513"/>
      <c r="J14" s="515" t="s">
        <v>131</v>
      </c>
      <c r="K14" s="513"/>
      <c r="L14" s="513"/>
      <c r="M14" s="513"/>
      <c r="N14" s="516"/>
      <c r="O14" s="501"/>
      <c r="P14" s="517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s="119" customFormat="1" ht="21.75" customHeight="1" thickBot="1" x14ac:dyDescent="0.3">
      <c r="A15" s="113"/>
      <c r="B15" s="506"/>
      <c r="C15" s="518" t="s">
        <v>132</v>
      </c>
      <c r="D15" s="488"/>
      <c r="E15" s="488"/>
      <c r="F15" s="488" t="s">
        <v>133</v>
      </c>
      <c r="G15" s="489"/>
      <c r="H15" s="489"/>
      <c r="I15" s="489"/>
      <c r="J15" s="488" t="s">
        <v>82</v>
      </c>
      <c r="K15" s="489"/>
      <c r="L15" s="489"/>
      <c r="M15" s="489"/>
      <c r="N15" s="490"/>
      <c r="O15" s="491"/>
      <c r="P15" s="492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s="119" customFormat="1" ht="21.75" customHeight="1" x14ac:dyDescent="0.25">
      <c r="A16" s="113"/>
      <c r="B16" s="493" t="s">
        <v>20</v>
      </c>
      <c r="C16" s="495" t="s">
        <v>21</v>
      </c>
      <c r="D16" s="495" t="s">
        <v>42</v>
      </c>
      <c r="E16" s="497" t="s">
        <v>22</v>
      </c>
      <c r="F16" s="498" t="s">
        <v>43</v>
      </c>
      <c r="G16" s="499"/>
      <c r="H16" s="495" t="s">
        <v>85</v>
      </c>
      <c r="I16" s="502" t="s">
        <v>86</v>
      </c>
      <c r="J16" s="138" t="s">
        <v>44</v>
      </c>
      <c r="K16" s="139"/>
      <c r="L16" s="140" t="s">
        <v>45</v>
      </c>
      <c r="M16" s="140" t="s">
        <v>46</v>
      </c>
      <c r="N16" s="140" t="s">
        <v>46</v>
      </c>
      <c r="O16" s="140" t="s">
        <v>47</v>
      </c>
      <c r="P16" s="141" t="s">
        <v>23</v>
      </c>
    </row>
    <row r="17" spans="1:26" s="119" customFormat="1" ht="21.75" customHeight="1" thickBot="1" x14ac:dyDescent="0.3">
      <c r="A17" s="142"/>
      <c r="B17" s="494"/>
      <c r="C17" s="496"/>
      <c r="D17" s="496"/>
      <c r="E17" s="496"/>
      <c r="F17" s="500"/>
      <c r="G17" s="501"/>
      <c r="H17" s="496"/>
      <c r="I17" s="503"/>
      <c r="J17" s="143" t="s">
        <v>24</v>
      </c>
      <c r="K17" s="144" t="s">
        <v>25</v>
      </c>
      <c r="L17" s="144" t="s">
        <v>48</v>
      </c>
      <c r="M17" s="144" t="s">
        <v>49</v>
      </c>
      <c r="N17" s="144" t="s">
        <v>26</v>
      </c>
      <c r="O17" s="144" t="s">
        <v>27</v>
      </c>
      <c r="P17" s="145" t="s">
        <v>28</v>
      </c>
    </row>
    <row r="18" spans="1:26" s="156" customFormat="1" ht="21.75" customHeight="1" thickBot="1" x14ac:dyDescent="0.3">
      <c r="A18" s="146"/>
      <c r="B18" s="147"/>
      <c r="C18" s="148">
        <f>+O12</f>
        <v>2.62</v>
      </c>
      <c r="D18" s="148">
        <v>0.215</v>
      </c>
      <c r="E18" s="149"/>
      <c r="F18" s="150"/>
      <c r="G18" s="151"/>
      <c r="H18" s="152"/>
      <c r="I18" s="153"/>
      <c r="J18" s="154"/>
      <c r="K18" s="149"/>
      <c r="L18" s="149"/>
      <c r="M18" s="149"/>
      <c r="N18" s="149"/>
      <c r="O18" s="149"/>
      <c r="P18" s="155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s="156" customFormat="1" ht="13.5" customHeight="1" x14ac:dyDescent="0.25">
      <c r="A19" s="146"/>
      <c r="B19" s="484">
        <v>1</v>
      </c>
      <c r="C19" s="487">
        <f>+C18+$N$12</f>
        <v>3.42</v>
      </c>
      <c r="D19" s="464">
        <v>0.10299999999999999</v>
      </c>
      <c r="E19" s="464">
        <v>0.14099999999999999</v>
      </c>
      <c r="F19" s="157" t="s">
        <v>93</v>
      </c>
      <c r="G19" s="158">
        <v>0</v>
      </c>
      <c r="H19" s="159"/>
      <c r="I19" s="160"/>
      <c r="J19" s="161">
        <v>0.46500000000000002</v>
      </c>
      <c r="K19" s="464">
        <f>+IF(E19&lt;=0.12,(J21),(IF(E19&lt;0.16,((J20+2*J21+J22)/4),IF(E19&gt;=0.16,((J19+3*J20+2*J21+3*J22+J23)/10)))))</f>
        <v>0.50975000000000004</v>
      </c>
      <c r="L19" s="464">
        <f>ROUND(+(D18+D19)/2*(C19-C18),3)</f>
        <v>0.127</v>
      </c>
      <c r="M19" s="464">
        <f>ROUND(+K19*L19,4)</f>
        <v>6.4699999999999994E-2</v>
      </c>
      <c r="N19" s="467">
        <f>ROUND(+M19/$M$88*100,2)</f>
        <v>4.13</v>
      </c>
      <c r="O19" s="468"/>
      <c r="P19" s="469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s="156" customFormat="1" ht="13.5" customHeight="1" x14ac:dyDescent="0.25">
      <c r="A20" s="146"/>
      <c r="B20" s="485"/>
      <c r="C20" s="465"/>
      <c r="D20" s="465"/>
      <c r="E20" s="465"/>
      <c r="F20" s="162" t="s">
        <v>94</v>
      </c>
      <c r="G20" s="163">
        <f>IF(E19&lt;0.125,"NA",IF(0.125&lt;=E19,(0.2*E19)))</f>
        <v>2.8199999999999999E-2</v>
      </c>
      <c r="H20" s="164"/>
      <c r="I20" s="165"/>
      <c r="J20" s="166">
        <v>0.48199999999999998</v>
      </c>
      <c r="K20" s="465"/>
      <c r="L20" s="465"/>
      <c r="M20" s="465"/>
      <c r="N20" s="465"/>
      <c r="O20" s="465"/>
      <c r="P20" s="470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s="156" customFormat="1" ht="13.5" customHeight="1" x14ac:dyDescent="0.25">
      <c r="A21" s="146"/>
      <c r="B21" s="485"/>
      <c r="C21" s="465"/>
      <c r="D21" s="465"/>
      <c r="E21" s="465"/>
      <c r="F21" s="162" t="s">
        <v>95</v>
      </c>
      <c r="G21" s="163">
        <f>+E19*0.4</f>
        <v>5.6399999999999999E-2</v>
      </c>
      <c r="H21" s="164"/>
      <c r="I21" s="165"/>
      <c r="J21" s="166">
        <v>0.51</v>
      </c>
      <c r="K21" s="465"/>
      <c r="L21" s="465"/>
      <c r="M21" s="465"/>
      <c r="N21" s="465"/>
      <c r="O21" s="465"/>
      <c r="P21" s="470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s="156" customFormat="1" ht="13.5" customHeight="1" x14ac:dyDescent="0.25">
      <c r="A22" s="146"/>
      <c r="B22" s="485"/>
      <c r="C22" s="465"/>
      <c r="D22" s="465"/>
      <c r="E22" s="465"/>
      <c r="F22" s="162" t="s">
        <v>96</v>
      </c>
      <c r="G22" s="163">
        <f>IF(E19&lt;0.125,"NA",IF(0.125&lt;=E19,(0.8*E19)))</f>
        <v>0.1128</v>
      </c>
      <c r="H22" s="164"/>
      <c r="I22" s="165"/>
      <c r="J22" s="166">
        <v>0.53700000000000003</v>
      </c>
      <c r="K22" s="465"/>
      <c r="L22" s="465"/>
      <c r="M22" s="465"/>
      <c r="N22" s="465"/>
      <c r="O22" s="465"/>
      <c r="P22" s="470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s="156" customFormat="1" ht="13.5" customHeight="1" thickBot="1" x14ac:dyDescent="0.3">
      <c r="A23" s="146"/>
      <c r="B23" s="486"/>
      <c r="C23" s="466"/>
      <c r="D23" s="466"/>
      <c r="E23" s="466"/>
      <c r="F23" s="167" t="s">
        <v>97</v>
      </c>
      <c r="G23" s="168">
        <f>+E19</f>
        <v>0.14099999999999999</v>
      </c>
      <c r="H23" s="169"/>
      <c r="I23" s="170"/>
      <c r="J23" s="171"/>
      <c r="K23" s="466"/>
      <c r="L23" s="466"/>
      <c r="M23" s="466"/>
      <c r="N23" s="466"/>
      <c r="O23" s="466"/>
      <c r="P23" s="471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s="156" customFormat="1" ht="13.5" customHeight="1" x14ac:dyDescent="0.25">
      <c r="A24" s="146"/>
      <c r="B24" s="484">
        <v>2</v>
      </c>
      <c r="C24" s="487">
        <f>+C19+$N$12</f>
        <v>4.22</v>
      </c>
      <c r="D24" s="464">
        <v>0.51</v>
      </c>
      <c r="E24" s="464">
        <v>0.47699999999999998</v>
      </c>
      <c r="F24" s="157" t="s">
        <v>93</v>
      </c>
      <c r="G24" s="158">
        <v>0</v>
      </c>
      <c r="H24" s="159"/>
      <c r="I24" s="160"/>
      <c r="J24" s="161">
        <v>0.40210999999999997</v>
      </c>
      <c r="K24" s="464">
        <f t="shared" ref="K24" si="0">+IF(E24&lt;=0.12,(J26),(IF(E24&lt;0.16,((J25+2*J26+J27)/4),IF(E24&gt;=0.16,((J24+3*J25+2*J26+3*J27+J28)/10)))))</f>
        <v>0.67379099999999992</v>
      </c>
      <c r="L24" s="464">
        <f>ROUND(+(D19+D24)/2*(C24-C19),3)</f>
        <v>0.245</v>
      </c>
      <c r="M24" s="464">
        <f t="shared" ref="M24" si="1">ROUND(+K24*L24,4)</f>
        <v>0.1651</v>
      </c>
      <c r="N24" s="467">
        <f t="shared" ref="N24" si="2">ROUND(+M24/$M$88*100,2)</f>
        <v>10.55</v>
      </c>
      <c r="O24" s="468"/>
      <c r="P24" s="469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s="156" customFormat="1" ht="13.5" customHeight="1" x14ac:dyDescent="0.25">
      <c r="A25" s="146"/>
      <c r="B25" s="485"/>
      <c r="C25" s="465"/>
      <c r="D25" s="465"/>
      <c r="E25" s="465"/>
      <c r="F25" s="162" t="s">
        <v>94</v>
      </c>
      <c r="G25" s="163">
        <f t="shared" ref="G25" si="3">IF(E24&lt;0.125,"NA",IF(0.125&lt;=E24,(0.2*E24)))</f>
        <v>9.5399999999999999E-2</v>
      </c>
      <c r="H25" s="164"/>
      <c r="I25" s="165"/>
      <c r="J25" s="166">
        <v>0.59306000000000003</v>
      </c>
      <c r="K25" s="465"/>
      <c r="L25" s="465"/>
      <c r="M25" s="465"/>
      <c r="N25" s="465"/>
      <c r="O25" s="465"/>
      <c r="P25" s="470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s="156" customFormat="1" ht="13.5" customHeight="1" x14ac:dyDescent="0.25">
      <c r="A26" s="146"/>
      <c r="B26" s="485"/>
      <c r="C26" s="465"/>
      <c r="D26" s="465"/>
      <c r="E26" s="465"/>
      <c r="F26" s="162" t="s">
        <v>95</v>
      </c>
      <c r="G26" s="163">
        <f t="shared" ref="G26" si="4">+E24*0.4</f>
        <v>0.1908</v>
      </c>
      <c r="H26" s="164"/>
      <c r="I26" s="165"/>
      <c r="J26" s="166">
        <v>0.84373999999999993</v>
      </c>
      <c r="K26" s="465"/>
      <c r="L26" s="465"/>
      <c r="M26" s="465"/>
      <c r="N26" s="465"/>
      <c r="O26" s="465"/>
      <c r="P26" s="470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s="156" customFormat="1" ht="13.5" customHeight="1" x14ac:dyDescent="0.25">
      <c r="A27" s="146"/>
      <c r="B27" s="485"/>
      <c r="C27" s="465"/>
      <c r="D27" s="465"/>
      <c r="E27" s="465"/>
      <c r="F27" s="162" t="s">
        <v>96</v>
      </c>
      <c r="G27" s="163">
        <f t="shared" ref="G27" si="5">IF(E24&lt;0.125,"NA",IF(0.125&lt;=E24,(0.8*E24)))</f>
        <v>0.38159999999999999</v>
      </c>
      <c r="H27" s="164"/>
      <c r="I27" s="165"/>
      <c r="J27" s="166">
        <v>0.78156000000000003</v>
      </c>
      <c r="K27" s="465"/>
      <c r="L27" s="465"/>
      <c r="M27" s="465"/>
      <c r="N27" s="465"/>
      <c r="O27" s="465"/>
      <c r="P27" s="470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s="156" customFormat="1" ht="13.5" customHeight="1" thickBot="1" x14ac:dyDescent="0.3">
      <c r="A28" s="146"/>
      <c r="B28" s="486"/>
      <c r="C28" s="466"/>
      <c r="D28" s="466"/>
      <c r="E28" s="466"/>
      <c r="F28" s="167" t="s">
        <v>97</v>
      </c>
      <c r="G28" s="168">
        <f t="shared" ref="G28" si="6">+E24</f>
        <v>0.47699999999999998</v>
      </c>
      <c r="H28" s="169"/>
      <c r="I28" s="170"/>
      <c r="J28" s="171">
        <v>0.52445999999999993</v>
      </c>
      <c r="K28" s="466"/>
      <c r="L28" s="466"/>
      <c r="M28" s="466"/>
      <c r="N28" s="466"/>
      <c r="O28" s="466"/>
      <c r="P28" s="471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s="156" customFormat="1" ht="13.5" customHeight="1" x14ac:dyDescent="0.25">
      <c r="A29" s="146"/>
      <c r="B29" s="484">
        <v>3</v>
      </c>
      <c r="C29" s="487">
        <f>+C24+$N$12</f>
        <v>5.0199999999999996</v>
      </c>
      <c r="D29" s="464">
        <v>0.26200000000000001</v>
      </c>
      <c r="E29" s="464">
        <v>0.54200000000000004</v>
      </c>
      <c r="F29" s="157" t="s">
        <v>93</v>
      </c>
      <c r="G29" s="158">
        <v>0</v>
      </c>
      <c r="H29" s="159"/>
      <c r="I29" s="160"/>
      <c r="J29" s="161">
        <v>0.46223910000000001</v>
      </c>
      <c r="K29" s="464">
        <f t="shared" ref="K29" si="7">+IF(E29&lt;=0.12,(J31),(IF(E29&lt;0.16,((J30+2*J31+J32)/4),IF(E29&gt;=0.16,((J29+3*J30+2*J31+3*J32+J33)/10)))))</f>
        <v>0.57540771000000002</v>
      </c>
      <c r="L29" s="464">
        <f t="shared" ref="L29" si="8">ROUND(+(D24+D29)/2*(C29-C24),3)</f>
        <v>0.309</v>
      </c>
      <c r="M29" s="464">
        <f t="shared" ref="M29" si="9">ROUND(+K29*L29,4)</f>
        <v>0.17780000000000001</v>
      </c>
      <c r="N29" s="467">
        <f t="shared" ref="N29" si="10">ROUND(+M29/$M$88*100,2)</f>
        <v>11.36</v>
      </c>
      <c r="O29" s="468"/>
      <c r="P29" s="469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s="156" customFormat="1" ht="13.5" customHeight="1" x14ac:dyDescent="0.25">
      <c r="A30" s="146"/>
      <c r="B30" s="485"/>
      <c r="C30" s="465"/>
      <c r="D30" s="465"/>
      <c r="E30" s="465"/>
      <c r="F30" s="162" t="s">
        <v>94</v>
      </c>
      <c r="G30" s="163">
        <f t="shared" ref="G30" si="11">IF(E29&lt;0.125,"NA",IF(0.125&lt;=E29,(0.2*E29)))</f>
        <v>0.10840000000000001</v>
      </c>
      <c r="H30" s="164"/>
      <c r="I30" s="165"/>
      <c r="J30" s="166">
        <v>0.51124860000000005</v>
      </c>
      <c r="K30" s="465"/>
      <c r="L30" s="465"/>
      <c r="M30" s="465"/>
      <c r="N30" s="465"/>
      <c r="O30" s="465"/>
      <c r="P30" s="470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s="156" customFormat="1" ht="13.5" customHeight="1" x14ac:dyDescent="0.25">
      <c r="A31" s="146"/>
      <c r="B31" s="485"/>
      <c r="C31" s="465"/>
      <c r="D31" s="465"/>
      <c r="E31" s="465"/>
      <c r="F31" s="162" t="s">
        <v>95</v>
      </c>
      <c r="G31" s="163">
        <f t="shared" ref="G31" si="12">+E29*0.4</f>
        <v>0.21680000000000002</v>
      </c>
      <c r="H31" s="164"/>
      <c r="I31" s="165"/>
      <c r="J31" s="166">
        <v>0.52503939999999993</v>
      </c>
      <c r="K31" s="465"/>
      <c r="L31" s="465"/>
      <c r="M31" s="465"/>
      <c r="N31" s="465"/>
      <c r="O31" s="465"/>
      <c r="P31" s="470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s="156" customFormat="1" ht="13.5" customHeight="1" x14ac:dyDescent="0.25">
      <c r="A32" s="146"/>
      <c r="B32" s="485"/>
      <c r="C32" s="465"/>
      <c r="D32" s="465"/>
      <c r="E32" s="465"/>
      <c r="F32" s="162" t="s">
        <v>96</v>
      </c>
      <c r="G32" s="163">
        <f t="shared" ref="G32" si="13">IF(E29&lt;0.125,"NA",IF(0.125&lt;=E29,(0.8*E29)))</f>
        <v>0.43360000000000004</v>
      </c>
      <c r="H32" s="164"/>
      <c r="I32" s="165"/>
      <c r="J32" s="166">
        <v>0.67489359999999998</v>
      </c>
      <c r="K32" s="465"/>
      <c r="L32" s="465"/>
      <c r="M32" s="465"/>
      <c r="N32" s="465"/>
      <c r="O32" s="465"/>
      <c r="P32" s="470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s="156" customFormat="1" ht="13.5" customHeight="1" thickBot="1" x14ac:dyDescent="0.3">
      <c r="A33" s="146"/>
      <c r="B33" s="486"/>
      <c r="C33" s="466"/>
      <c r="D33" s="466"/>
      <c r="E33" s="466"/>
      <c r="F33" s="167" t="s">
        <v>97</v>
      </c>
      <c r="G33" s="168">
        <f t="shared" ref="G33" si="14">+E29</f>
        <v>0.54200000000000004</v>
      </c>
      <c r="H33" s="169"/>
      <c r="I33" s="170"/>
      <c r="J33" s="171">
        <v>0.68333259999999996</v>
      </c>
      <c r="K33" s="466"/>
      <c r="L33" s="466"/>
      <c r="M33" s="466"/>
      <c r="N33" s="466"/>
      <c r="O33" s="466"/>
      <c r="P33" s="471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s="156" customFormat="1" ht="13.5" customHeight="1" x14ac:dyDescent="0.25">
      <c r="A34" s="146"/>
      <c r="B34" s="484">
        <v>4</v>
      </c>
      <c r="C34" s="487">
        <f>+C29+$N$12</f>
        <v>5.8199999999999994</v>
      </c>
      <c r="D34" s="464">
        <v>0.41099999999999998</v>
      </c>
      <c r="E34" s="464">
        <v>0.47199999999999998</v>
      </c>
      <c r="F34" s="157" t="s">
        <v>93</v>
      </c>
      <c r="G34" s="158">
        <v>0</v>
      </c>
      <c r="H34" s="159"/>
      <c r="I34" s="160"/>
      <c r="J34" s="161">
        <v>0.51191518999999996</v>
      </c>
      <c r="K34" s="464">
        <f t="shared" ref="K34" si="15">+IF(E34&lt;=0.12,(J36),(IF(E34&lt;0.16,((J35+2*J36+J37)/4),IF(E34&gt;=0.16,((J34+3*J35+2*J36+3*J37+J38)/10)))))</f>
        <v>0.68316693900000003</v>
      </c>
      <c r="L34" s="464">
        <f>ROUND(+(D29+D34)/2*(C34-C29),3)</f>
        <v>0.26900000000000002</v>
      </c>
      <c r="M34" s="464">
        <f t="shared" ref="M34" si="16">ROUND(+K34*L34,4)</f>
        <v>0.18379999999999999</v>
      </c>
      <c r="N34" s="467">
        <f t="shared" ref="N34" si="17">ROUND(+M34/$M$88*100,2)</f>
        <v>11.74</v>
      </c>
      <c r="O34" s="468"/>
      <c r="P34" s="469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s="156" customFormat="1" ht="13.5" customHeight="1" x14ac:dyDescent="0.25">
      <c r="A35" s="146"/>
      <c r="B35" s="485"/>
      <c r="C35" s="465"/>
      <c r="D35" s="465"/>
      <c r="E35" s="465"/>
      <c r="F35" s="162" t="s">
        <v>94</v>
      </c>
      <c r="G35" s="163">
        <f t="shared" ref="G35" si="18">IF(E34&lt;0.125,"NA",IF(0.125&lt;=E34,(0.2*E34)))</f>
        <v>9.4399999999999998E-2</v>
      </c>
      <c r="H35" s="164"/>
      <c r="I35" s="165"/>
      <c r="J35" s="166">
        <v>0.55552374000000004</v>
      </c>
      <c r="K35" s="465"/>
      <c r="L35" s="465"/>
      <c r="M35" s="465"/>
      <c r="N35" s="465"/>
      <c r="O35" s="465"/>
      <c r="P35" s="470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s="156" customFormat="1" ht="13.5" customHeight="1" x14ac:dyDescent="0.25">
      <c r="A36" s="146"/>
      <c r="B36" s="485"/>
      <c r="C36" s="465"/>
      <c r="D36" s="465"/>
      <c r="E36" s="465"/>
      <c r="F36" s="162" t="s">
        <v>95</v>
      </c>
      <c r="G36" s="163">
        <f t="shared" ref="G36" si="19">+E34*0.4</f>
        <v>0.1888</v>
      </c>
      <c r="H36" s="164"/>
      <c r="I36" s="165"/>
      <c r="J36" s="166">
        <v>0.53993546000000003</v>
      </c>
      <c r="K36" s="465"/>
      <c r="L36" s="465"/>
      <c r="M36" s="465"/>
      <c r="N36" s="465"/>
      <c r="O36" s="465"/>
      <c r="P36" s="470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s="156" customFormat="1" ht="13.5" customHeight="1" x14ac:dyDescent="0.25">
      <c r="A37" s="146"/>
      <c r="B37" s="485"/>
      <c r="C37" s="465"/>
      <c r="D37" s="465"/>
      <c r="E37" s="465"/>
      <c r="F37" s="162" t="s">
        <v>96</v>
      </c>
      <c r="G37" s="163">
        <f t="shared" ref="G37" si="20">IF(E34&lt;0.125,"NA",IF(0.125&lt;=E34,(0.8*E34)))</f>
        <v>0.37759999999999999</v>
      </c>
      <c r="H37" s="164"/>
      <c r="I37" s="165"/>
      <c r="J37" s="166">
        <v>0.83380423999999997</v>
      </c>
      <c r="K37" s="465"/>
      <c r="L37" s="465"/>
      <c r="M37" s="465"/>
      <c r="N37" s="465"/>
      <c r="O37" s="465"/>
      <c r="P37" s="470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s="156" customFormat="1" ht="13.5" customHeight="1" thickBot="1" x14ac:dyDescent="0.3">
      <c r="A38" s="146"/>
      <c r="B38" s="486"/>
      <c r="C38" s="466"/>
      <c r="D38" s="466"/>
      <c r="E38" s="466"/>
      <c r="F38" s="167" t="s">
        <v>97</v>
      </c>
      <c r="G38" s="168">
        <f t="shared" ref="G38" si="21">+E34</f>
        <v>0.47199999999999998</v>
      </c>
      <c r="H38" s="169"/>
      <c r="I38" s="170"/>
      <c r="J38" s="171">
        <v>1.0718993400000001</v>
      </c>
      <c r="K38" s="466"/>
      <c r="L38" s="466"/>
      <c r="M38" s="466"/>
      <c r="N38" s="466"/>
      <c r="O38" s="466"/>
      <c r="P38" s="471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s="156" customFormat="1" ht="13.5" customHeight="1" x14ac:dyDescent="0.25">
      <c r="A39" s="146"/>
      <c r="B39" s="484">
        <v>5</v>
      </c>
      <c r="C39" s="487">
        <f>+C34+$N$12</f>
        <v>6.6199999999999992</v>
      </c>
      <c r="D39" s="464">
        <v>0.46899999999999997</v>
      </c>
      <c r="E39" s="464">
        <v>0.47499999999999998</v>
      </c>
      <c r="F39" s="157" t="s">
        <v>93</v>
      </c>
      <c r="G39" s="158">
        <v>0</v>
      </c>
      <c r="H39" s="159"/>
      <c r="I39" s="160"/>
      <c r="J39" s="161">
        <v>0.60599999999999998</v>
      </c>
      <c r="K39" s="464">
        <f t="shared" ref="K39" si="22">+IF(E39&lt;=0.12,(J41),(IF(E39&lt;0.16,((J40+2*J41+J42)/4),IF(E39&gt;=0.16,((J39+3*J40+2*J41+3*J42+J43)/10)))))</f>
        <v>0.69950000000000001</v>
      </c>
      <c r="L39" s="464">
        <f t="shared" ref="L39" si="23">ROUND(+(D34+D39)/2*(C39-C34),3)</f>
        <v>0.35199999999999998</v>
      </c>
      <c r="M39" s="464">
        <f t="shared" ref="M39" si="24">ROUND(+K39*L39,4)</f>
        <v>0.2462</v>
      </c>
      <c r="N39" s="467">
        <f t="shared" ref="N39" si="25">ROUND(+M39/$M$88*100,2)</f>
        <v>15.73</v>
      </c>
      <c r="O39" s="468"/>
      <c r="P39" s="469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s="156" customFormat="1" ht="13.5" customHeight="1" x14ac:dyDescent="0.25">
      <c r="A40" s="146"/>
      <c r="B40" s="485"/>
      <c r="C40" s="465"/>
      <c r="D40" s="465"/>
      <c r="E40" s="465"/>
      <c r="F40" s="162" t="s">
        <v>94</v>
      </c>
      <c r="G40" s="163">
        <f t="shared" ref="G40" si="26">IF(E39&lt;0.125,"NA",IF(0.125&lt;=E39,(0.2*E39)))</f>
        <v>9.5000000000000001E-2</v>
      </c>
      <c r="H40" s="164"/>
      <c r="I40" s="165"/>
      <c r="J40" s="166">
        <v>0.58499999999999996</v>
      </c>
      <c r="K40" s="465"/>
      <c r="L40" s="465"/>
      <c r="M40" s="465"/>
      <c r="N40" s="465"/>
      <c r="O40" s="465"/>
      <c r="P40" s="470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s="156" customFormat="1" ht="13.5" customHeight="1" x14ac:dyDescent="0.25">
      <c r="A41" s="146"/>
      <c r="B41" s="485"/>
      <c r="C41" s="465"/>
      <c r="D41" s="465"/>
      <c r="E41" s="465"/>
      <c r="F41" s="162" t="s">
        <v>95</v>
      </c>
      <c r="G41" s="163">
        <f t="shared" ref="G41" si="27">+E39*0.4</f>
        <v>0.19</v>
      </c>
      <c r="H41" s="164"/>
      <c r="I41" s="165"/>
      <c r="J41" s="166">
        <v>0.78900000000000003</v>
      </c>
      <c r="K41" s="465"/>
      <c r="L41" s="465"/>
      <c r="M41" s="465"/>
      <c r="N41" s="465"/>
      <c r="O41" s="465"/>
      <c r="P41" s="470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s="156" customFormat="1" ht="13.5" customHeight="1" x14ac:dyDescent="0.25">
      <c r="A42" s="146"/>
      <c r="B42" s="485"/>
      <c r="C42" s="465"/>
      <c r="D42" s="465"/>
      <c r="E42" s="465"/>
      <c r="F42" s="162" t="s">
        <v>96</v>
      </c>
      <c r="G42" s="163">
        <f t="shared" ref="G42" si="28">IF(E39&lt;0.125,"NA",IF(0.125&lt;=E39,(0.8*E39)))</f>
        <v>0.38</v>
      </c>
      <c r="H42" s="164"/>
      <c r="I42" s="165"/>
      <c r="J42" s="166">
        <v>0.78200000000000003</v>
      </c>
      <c r="K42" s="465"/>
      <c r="L42" s="465"/>
      <c r="M42" s="465"/>
      <c r="N42" s="465"/>
      <c r="O42" s="465"/>
      <c r="P42" s="470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s="156" customFormat="1" ht="13.5" customHeight="1" thickBot="1" x14ac:dyDescent="0.3">
      <c r="A43" s="146"/>
      <c r="B43" s="486"/>
      <c r="C43" s="466"/>
      <c r="D43" s="466"/>
      <c r="E43" s="466"/>
      <c r="F43" s="167" t="s">
        <v>97</v>
      </c>
      <c r="G43" s="168">
        <f t="shared" ref="G43" si="29">+E39</f>
        <v>0.47499999999999998</v>
      </c>
      <c r="H43" s="169"/>
      <c r="I43" s="170"/>
      <c r="J43" s="171">
        <v>0.71</v>
      </c>
      <c r="K43" s="466"/>
      <c r="L43" s="466"/>
      <c r="M43" s="466"/>
      <c r="N43" s="466"/>
      <c r="O43" s="466"/>
      <c r="P43" s="471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s="156" customFormat="1" ht="13.5" customHeight="1" x14ac:dyDescent="0.25">
      <c r="A44" s="146"/>
      <c r="B44" s="484">
        <v>6</v>
      </c>
      <c r="C44" s="487">
        <f>+C39+$N$12</f>
        <v>7.419999999999999</v>
      </c>
      <c r="D44" s="464">
        <v>0.48699999999999999</v>
      </c>
      <c r="E44" s="464">
        <v>0.54400000000000004</v>
      </c>
      <c r="F44" s="157" t="s">
        <v>93</v>
      </c>
      <c r="G44" s="158">
        <v>0</v>
      </c>
      <c r="H44" s="159"/>
      <c r="I44" s="160"/>
      <c r="J44" s="161"/>
      <c r="K44" s="464"/>
      <c r="L44" s="464"/>
      <c r="M44" s="464"/>
      <c r="N44" s="467"/>
      <c r="O44" s="468"/>
      <c r="P44" s="469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s="156" customFormat="1" ht="13.5" customHeight="1" x14ac:dyDescent="0.25">
      <c r="A45" s="146"/>
      <c r="B45" s="485"/>
      <c r="C45" s="465"/>
      <c r="D45" s="465"/>
      <c r="E45" s="465"/>
      <c r="F45" s="162" t="s">
        <v>94</v>
      </c>
      <c r="G45" s="163">
        <f t="shared" ref="G45" si="30">IF(E44&lt;0.125,"NA",IF(0.125&lt;=E44,(0.2*E44)))</f>
        <v>0.10880000000000001</v>
      </c>
      <c r="H45" s="164"/>
      <c r="I45" s="165"/>
      <c r="J45" s="166"/>
      <c r="K45" s="465"/>
      <c r="L45" s="465"/>
      <c r="M45" s="465"/>
      <c r="N45" s="465"/>
      <c r="O45" s="465"/>
      <c r="P45" s="470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s="156" customFormat="1" ht="13.5" customHeight="1" x14ac:dyDescent="0.25">
      <c r="A46" s="146"/>
      <c r="B46" s="485"/>
      <c r="C46" s="465"/>
      <c r="D46" s="465"/>
      <c r="E46" s="465"/>
      <c r="F46" s="162" t="s">
        <v>95</v>
      </c>
      <c r="G46" s="163">
        <f t="shared" ref="G46" si="31">+E44*0.4</f>
        <v>0.21760000000000002</v>
      </c>
      <c r="H46" s="164"/>
      <c r="I46" s="165"/>
      <c r="J46" s="166"/>
      <c r="K46" s="465"/>
      <c r="L46" s="465"/>
      <c r="M46" s="465"/>
      <c r="N46" s="465"/>
      <c r="O46" s="465"/>
      <c r="P46" s="470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s="156" customFormat="1" ht="13.5" customHeight="1" x14ac:dyDescent="0.25">
      <c r="A47" s="146"/>
      <c r="B47" s="485"/>
      <c r="C47" s="465"/>
      <c r="D47" s="465"/>
      <c r="E47" s="465"/>
      <c r="F47" s="162" t="s">
        <v>96</v>
      </c>
      <c r="G47" s="163">
        <f t="shared" ref="G47" si="32">IF(E44&lt;0.125,"NA",IF(0.125&lt;=E44,(0.8*E44)))</f>
        <v>0.43520000000000003</v>
      </c>
      <c r="H47" s="164"/>
      <c r="I47" s="165"/>
      <c r="J47" s="166"/>
      <c r="K47" s="465"/>
      <c r="L47" s="465"/>
      <c r="M47" s="465"/>
      <c r="N47" s="465"/>
      <c r="O47" s="465"/>
      <c r="P47" s="470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s="156" customFormat="1" ht="13.5" customHeight="1" thickBot="1" x14ac:dyDescent="0.3">
      <c r="A48" s="146"/>
      <c r="B48" s="486"/>
      <c r="C48" s="466"/>
      <c r="D48" s="466"/>
      <c r="E48" s="466"/>
      <c r="F48" s="167" t="s">
        <v>97</v>
      </c>
      <c r="G48" s="168">
        <f t="shared" ref="G48" si="33">+E44</f>
        <v>0.54400000000000004</v>
      </c>
      <c r="H48" s="169"/>
      <c r="I48" s="170"/>
      <c r="J48" s="171"/>
      <c r="K48" s="466"/>
      <c r="L48" s="466"/>
      <c r="M48" s="466"/>
      <c r="N48" s="466"/>
      <c r="O48" s="466"/>
      <c r="P48" s="471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s="156" customFormat="1" ht="13.5" customHeight="1" x14ac:dyDescent="0.25">
      <c r="A49" s="146"/>
      <c r="B49" s="484">
        <v>7</v>
      </c>
      <c r="C49" s="487">
        <f t="shared" ref="C49" si="34">+C44+$N$12</f>
        <v>8.2199999999999989</v>
      </c>
      <c r="D49" s="464">
        <v>0.41799999999999998</v>
      </c>
      <c r="E49" s="464">
        <v>0.48</v>
      </c>
      <c r="F49" s="157" t="s">
        <v>93</v>
      </c>
      <c r="G49" s="158">
        <v>0</v>
      </c>
      <c r="H49" s="159"/>
      <c r="I49" s="160"/>
      <c r="J49" s="161">
        <v>0.75523670999999992</v>
      </c>
      <c r="K49" s="464">
        <f t="shared" ref="K49" si="35">+IF(E49&lt;=0.12,(J51),(IF(E49&lt;0.16,((J50+2*J51+J52)/4),IF(E49&gt;=0.16,((J49+3*J50+2*J51+3*J52+J53)/10)))))</f>
        <v>0.79710245099999999</v>
      </c>
      <c r="L49" s="464">
        <f t="shared" ref="L49" si="36">ROUND(+(D44+D49)/2*(C49-C44),3)</f>
        <v>0.36199999999999999</v>
      </c>
      <c r="M49" s="464">
        <f t="shared" ref="M49" si="37">ROUND(+K49*L49,4)</f>
        <v>0.28860000000000002</v>
      </c>
      <c r="N49" s="467">
        <f t="shared" ref="N49" si="38">ROUND(+M49/$M$88*100,2)</f>
        <v>18.440000000000001</v>
      </c>
      <c r="O49" s="468"/>
      <c r="P49" s="469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s="156" customFormat="1" ht="13.5" customHeight="1" x14ac:dyDescent="0.25">
      <c r="A50" s="146"/>
      <c r="B50" s="485"/>
      <c r="C50" s="465"/>
      <c r="D50" s="465"/>
      <c r="E50" s="465"/>
      <c r="F50" s="162" t="s">
        <v>94</v>
      </c>
      <c r="G50" s="163">
        <f t="shared" ref="G50" si="39">IF(E49&lt;0.125,"NA",IF(0.125&lt;=E49,(0.2*E49)))</f>
        <v>9.6000000000000002E-2</v>
      </c>
      <c r="H50" s="164"/>
      <c r="I50" s="165"/>
      <c r="J50" s="166">
        <v>0.78771366000000009</v>
      </c>
      <c r="K50" s="465"/>
      <c r="L50" s="465"/>
      <c r="M50" s="465"/>
      <c r="N50" s="465"/>
      <c r="O50" s="465"/>
      <c r="P50" s="470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s="156" customFormat="1" ht="13.5" customHeight="1" x14ac:dyDescent="0.25">
      <c r="A51" s="146"/>
      <c r="B51" s="485"/>
      <c r="C51" s="465"/>
      <c r="D51" s="465"/>
      <c r="E51" s="465"/>
      <c r="F51" s="162" t="s">
        <v>95</v>
      </c>
      <c r="G51" s="163">
        <f t="shared" ref="G51" si="40">+E49*0.4</f>
        <v>0.192</v>
      </c>
      <c r="H51" s="164"/>
      <c r="I51" s="165"/>
      <c r="J51" s="166">
        <v>0.81841913999999982</v>
      </c>
      <c r="K51" s="465"/>
      <c r="L51" s="465"/>
      <c r="M51" s="465"/>
      <c r="N51" s="465"/>
      <c r="O51" s="465"/>
      <c r="P51" s="470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s="156" customFormat="1" ht="13.5" customHeight="1" x14ac:dyDescent="0.25">
      <c r="A52" s="146"/>
      <c r="B52" s="485"/>
      <c r="C52" s="465"/>
      <c r="D52" s="465"/>
      <c r="E52" s="465"/>
      <c r="F52" s="162" t="s">
        <v>96</v>
      </c>
      <c r="G52" s="163">
        <f t="shared" ref="G52" si="41">IF(E49&lt;0.125,"NA",IF(0.125&lt;=E49,(0.8*E49)))</f>
        <v>0.38400000000000001</v>
      </c>
      <c r="H52" s="164"/>
      <c r="I52" s="165"/>
      <c r="J52" s="166">
        <v>0.81723815999999982</v>
      </c>
      <c r="K52" s="465"/>
      <c r="L52" s="465"/>
      <c r="M52" s="465"/>
      <c r="N52" s="465"/>
      <c r="O52" s="465"/>
      <c r="P52" s="470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s="156" customFormat="1" ht="13.5" customHeight="1" thickBot="1" x14ac:dyDescent="0.3">
      <c r="A53" s="146"/>
      <c r="B53" s="486"/>
      <c r="C53" s="466"/>
      <c r="D53" s="466"/>
      <c r="E53" s="466"/>
      <c r="F53" s="167" t="s">
        <v>97</v>
      </c>
      <c r="G53" s="168">
        <f t="shared" ref="G53" si="42">+E49</f>
        <v>0.48</v>
      </c>
      <c r="H53" s="169"/>
      <c r="I53" s="170"/>
      <c r="J53" s="171">
        <v>0.76409406000000013</v>
      </c>
      <c r="K53" s="466"/>
      <c r="L53" s="466"/>
      <c r="M53" s="466"/>
      <c r="N53" s="466"/>
      <c r="O53" s="466"/>
      <c r="P53" s="471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s="156" customFormat="1" ht="13.5" customHeight="1" x14ac:dyDescent="0.25">
      <c r="A54" s="146"/>
      <c r="B54" s="484">
        <v>8</v>
      </c>
      <c r="C54" s="487">
        <f t="shared" ref="C54" si="43">+C49+$N$12</f>
        <v>9.02</v>
      </c>
      <c r="D54" s="464">
        <v>0.23100000000000001</v>
      </c>
      <c r="E54" s="464">
        <v>0.36</v>
      </c>
      <c r="F54" s="157" t="s">
        <v>93</v>
      </c>
      <c r="G54" s="158">
        <v>0</v>
      </c>
      <c r="H54" s="159"/>
      <c r="I54" s="160"/>
      <c r="J54" s="161">
        <v>0.32749899999999998</v>
      </c>
      <c r="K54" s="464">
        <f t="shared" ref="K54" si="44">+IF(E54&lt;=0.12,(J56),(IF(E54&lt;0.16,((J55+2*J56+J57)/4),IF(E54&gt;=0.16,((J54+3*J55+2*J56+3*J57+J58)/10)))))</f>
        <v>0.4221319</v>
      </c>
      <c r="L54" s="464">
        <f t="shared" ref="L54" si="45">ROUND(+(D49+D54)/2*(C54-C49),3)</f>
        <v>0.26</v>
      </c>
      <c r="M54" s="464">
        <f t="shared" ref="M54" si="46">ROUND(+K54*L54,4)</f>
        <v>0.10979999999999999</v>
      </c>
      <c r="N54" s="467">
        <f t="shared" ref="N54" si="47">ROUND(+M54/$M$88*100,2)</f>
        <v>7.01</v>
      </c>
      <c r="O54" s="468"/>
      <c r="P54" s="469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s="156" customFormat="1" ht="13.5" customHeight="1" x14ac:dyDescent="0.25">
      <c r="A55" s="146"/>
      <c r="B55" s="485"/>
      <c r="C55" s="465"/>
      <c r="D55" s="465"/>
      <c r="E55" s="465"/>
      <c r="F55" s="162" t="s">
        <v>94</v>
      </c>
      <c r="G55" s="163">
        <f t="shared" ref="G55" si="48">IF(E54&lt;0.125,"NA",IF(0.125&lt;=E54,(0.2*E54)))</f>
        <v>7.1999999999999995E-2</v>
      </c>
      <c r="H55" s="164"/>
      <c r="I55" s="165"/>
      <c r="J55" s="166">
        <v>0.35145400000000004</v>
      </c>
      <c r="K55" s="465"/>
      <c r="L55" s="465"/>
      <c r="M55" s="465"/>
      <c r="N55" s="465"/>
      <c r="O55" s="465"/>
      <c r="P55" s="470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s="156" customFormat="1" ht="13.5" customHeight="1" x14ac:dyDescent="0.25">
      <c r="A56" s="146"/>
      <c r="B56" s="485"/>
      <c r="C56" s="465"/>
      <c r="D56" s="465"/>
      <c r="E56" s="465"/>
      <c r="F56" s="162" t="s">
        <v>95</v>
      </c>
      <c r="G56" s="163">
        <f t="shared" ref="G56" si="49">+E54*0.4</f>
        <v>0.14399999999999999</v>
      </c>
      <c r="H56" s="164"/>
      <c r="I56" s="165"/>
      <c r="J56" s="166">
        <v>0.47686600000000001</v>
      </c>
      <c r="K56" s="465"/>
      <c r="L56" s="465"/>
      <c r="M56" s="465"/>
      <c r="N56" s="465"/>
      <c r="O56" s="465"/>
      <c r="P56" s="470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s="156" customFormat="1" ht="13.5" customHeight="1" x14ac:dyDescent="0.25">
      <c r="A57" s="146"/>
      <c r="B57" s="485"/>
      <c r="C57" s="465"/>
      <c r="D57" s="465"/>
      <c r="E57" s="465"/>
      <c r="F57" s="162" t="s">
        <v>96</v>
      </c>
      <c r="G57" s="163">
        <f t="shared" ref="G57" si="50">IF(E54&lt;0.125,"NA",IF(0.125&lt;=E54,(0.8*E54)))</f>
        <v>0.28799999999999998</v>
      </c>
      <c r="H57" s="164"/>
      <c r="I57" s="165"/>
      <c r="J57" s="166">
        <v>0.49650399999999995</v>
      </c>
      <c r="K57" s="465"/>
      <c r="L57" s="465"/>
      <c r="M57" s="465"/>
      <c r="N57" s="465"/>
      <c r="O57" s="465"/>
      <c r="P57" s="470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s="156" customFormat="1" ht="13.5" customHeight="1" thickBot="1" x14ac:dyDescent="0.3">
      <c r="A58" s="146"/>
      <c r="B58" s="486"/>
      <c r="C58" s="466"/>
      <c r="D58" s="466"/>
      <c r="E58" s="466"/>
      <c r="F58" s="167" t="s">
        <v>97</v>
      </c>
      <c r="G58" s="168">
        <f t="shared" ref="G58" si="51">+E54</f>
        <v>0.36</v>
      </c>
      <c r="H58" s="169"/>
      <c r="I58" s="170"/>
      <c r="J58" s="171">
        <v>0.39621400000000001</v>
      </c>
      <c r="K58" s="466"/>
      <c r="L58" s="466"/>
      <c r="M58" s="466"/>
      <c r="N58" s="466"/>
      <c r="O58" s="466"/>
      <c r="P58" s="471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s="156" customFormat="1" ht="13.5" customHeight="1" x14ac:dyDescent="0.25">
      <c r="A59" s="146"/>
      <c r="B59" s="484">
        <v>9</v>
      </c>
      <c r="C59" s="487">
        <f t="shared" ref="C59" si="52">+C54+$N$12</f>
        <v>9.82</v>
      </c>
      <c r="D59" s="464">
        <v>0.106</v>
      </c>
      <c r="E59" s="464">
        <v>0.127</v>
      </c>
      <c r="F59" s="157" t="s">
        <v>93</v>
      </c>
      <c r="G59" s="158">
        <v>0</v>
      </c>
      <c r="H59" s="159"/>
      <c r="I59" s="160"/>
      <c r="J59" s="161">
        <v>0.29899999999999999</v>
      </c>
      <c r="K59" s="464">
        <f t="shared" ref="K59" si="53">+IF(E59&lt;=0.12,(J61),(IF(E59&lt;0.16,((J60+2*J61+J62)/4),IF(E59&gt;=0.16,((J59+3*J60+2*J61+3*J62+J63)/10)))))</f>
        <v>0.312</v>
      </c>
      <c r="L59" s="464">
        <f t="shared" ref="L59" si="54">ROUND(+(D54+D59)/2*(C59-C54),3)</f>
        <v>0.13500000000000001</v>
      </c>
      <c r="M59" s="464">
        <f t="shared" ref="M59" si="55">ROUND(+K59*L59,4)</f>
        <v>4.2099999999999999E-2</v>
      </c>
      <c r="N59" s="467">
        <f t="shared" ref="N59" si="56">ROUND(+M59/$M$88*100,2)</f>
        <v>2.69</v>
      </c>
      <c r="O59" s="468"/>
      <c r="P59" s="469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s="156" customFormat="1" ht="13.5" customHeight="1" x14ac:dyDescent="0.25">
      <c r="A60" s="146"/>
      <c r="B60" s="485"/>
      <c r="C60" s="465"/>
      <c r="D60" s="465"/>
      <c r="E60" s="465"/>
      <c r="F60" s="162" t="s">
        <v>94</v>
      </c>
      <c r="G60" s="163">
        <f t="shared" ref="G60" si="57">IF(E59&lt;0.125,"NA",IF(0.125&lt;=E59,(0.2*E59)))</f>
        <v>2.5400000000000002E-2</v>
      </c>
      <c r="H60" s="164"/>
      <c r="I60" s="165"/>
      <c r="J60" s="166">
        <v>0.24</v>
      </c>
      <c r="K60" s="465"/>
      <c r="L60" s="465"/>
      <c r="M60" s="465"/>
      <c r="N60" s="465"/>
      <c r="O60" s="465"/>
      <c r="P60" s="470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s="156" customFormat="1" ht="13.5" customHeight="1" x14ac:dyDescent="0.25">
      <c r="A61" s="146"/>
      <c r="B61" s="485"/>
      <c r="C61" s="465"/>
      <c r="D61" s="465"/>
      <c r="E61" s="465"/>
      <c r="F61" s="162" t="s">
        <v>95</v>
      </c>
      <c r="G61" s="163">
        <f t="shared" ref="G61" si="58">+E59*0.4</f>
        <v>5.0800000000000005E-2</v>
      </c>
      <c r="H61" s="164"/>
      <c r="I61" s="165"/>
      <c r="J61" s="166">
        <v>0.33800000000000002</v>
      </c>
      <c r="K61" s="465"/>
      <c r="L61" s="465"/>
      <c r="M61" s="465"/>
      <c r="N61" s="465"/>
      <c r="O61" s="465"/>
      <c r="P61" s="470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s="156" customFormat="1" ht="13.5" customHeight="1" x14ac:dyDescent="0.25">
      <c r="A62" s="146"/>
      <c r="B62" s="485"/>
      <c r="C62" s="465"/>
      <c r="D62" s="465"/>
      <c r="E62" s="465"/>
      <c r="F62" s="162" t="s">
        <v>96</v>
      </c>
      <c r="G62" s="163">
        <f t="shared" ref="G62" si="59">IF(E59&lt;0.125,"NA",IF(0.125&lt;=E59,(0.8*E59)))</f>
        <v>0.10160000000000001</v>
      </c>
      <c r="H62" s="164"/>
      <c r="I62" s="165"/>
      <c r="J62" s="166">
        <v>0.33200000000000002</v>
      </c>
      <c r="K62" s="465"/>
      <c r="L62" s="465"/>
      <c r="M62" s="465"/>
      <c r="N62" s="465"/>
      <c r="O62" s="465"/>
      <c r="P62" s="470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s="156" customFormat="1" ht="13.5" customHeight="1" thickBot="1" x14ac:dyDescent="0.3">
      <c r="A63" s="146"/>
      <c r="B63" s="486"/>
      <c r="C63" s="466"/>
      <c r="D63" s="466"/>
      <c r="E63" s="466"/>
      <c r="F63" s="167" t="s">
        <v>97</v>
      </c>
      <c r="G63" s="168">
        <f t="shared" ref="G63" si="60">+E59</f>
        <v>0.127</v>
      </c>
      <c r="H63" s="169"/>
      <c r="I63" s="170"/>
      <c r="J63" s="171">
        <v>0.27700000000000002</v>
      </c>
      <c r="K63" s="466"/>
      <c r="L63" s="466"/>
      <c r="M63" s="466"/>
      <c r="N63" s="466"/>
      <c r="O63" s="466"/>
      <c r="P63" s="471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s="156" customFormat="1" ht="13.5" customHeight="1" x14ac:dyDescent="0.25">
      <c r="A64" s="146"/>
      <c r="B64" s="484">
        <v>10</v>
      </c>
      <c r="C64" s="487">
        <f t="shared" ref="C64" si="61">+C59+$N$12</f>
        <v>10.620000000000001</v>
      </c>
      <c r="D64" s="464">
        <v>0</v>
      </c>
      <c r="E64" s="464">
        <v>6.4000000000000001E-2</v>
      </c>
      <c r="F64" s="157" t="s">
        <v>93</v>
      </c>
      <c r="G64" s="158">
        <v>0</v>
      </c>
      <c r="H64" s="159"/>
      <c r="I64" s="160"/>
      <c r="J64" s="161">
        <v>6.4000000000000001E-2</v>
      </c>
      <c r="K64" s="464">
        <f t="shared" ref="K64" si="62">+IF(E64&lt;=0.12,(J66),(IF(E64&lt;0.16,((J65+2*J66+J67)/4),IF(E64&gt;=0.16,((J64+3*J65+2*J66+3*J67+J68)/10)))))</f>
        <v>9.9000000000000005E-2</v>
      </c>
      <c r="L64" s="464">
        <f t="shared" ref="L64" si="63">ROUND(+(D59+D64)/2*(C64-C59),3)</f>
        <v>4.2000000000000003E-2</v>
      </c>
      <c r="M64" s="464">
        <f t="shared" ref="M64" si="64">ROUND(+K64*L64,4)</f>
        <v>4.1999999999999997E-3</v>
      </c>
      <c r="N64" s="467">
        <f t="shared" ref="N64" si="65">ROUND(+M64/$M$88*100,2)</f>
        <v>0.27</v>
      </c>
      <c r="O64" s="468"/>
      <c r="P64" s="469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s="156" customFormat="1" ht="13.5" customHeight="1" x14ac:dyDescent="0.25">
      <c r="A65" s="146"/>
      <c r="B65" s="485"/>
      <c r="C65" s="465"/>
      <c r="D65" s="465"/>
      <c r="E65" s="465"/>
      <c r="F65" s="162" t="s">
        <v>94</v>
      </c>
      <c r="G65" s="163" t="str">
        <f t="shared" ref="G65" si="66">IF(E64&lt;0.125,"NA",IF(0.125&lt;=E64,(0.2*E64)))</f>
        <v>NA</v>
      </c>
      <c r="H65" s="164"/>
      <c r="I65" s="165"/>
      <c r="J65" s="166"/>
      <c r="K65" s="465"/>
      <c r="L65" s="465"/>
      <c r="M65" s="465"/>
      <c r="N65" s="465"/>
      <c r="O65" s="465"/>
      <c r="P65" s="470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s="156" customFormat="1" ht="13.5" customHeight="1" x14ac:dyDescent="0.25">
      <c r="A66" s="146"/>
      <c r="B66" s="485"/>
      <c r="C66" s="465"/>
      <c r="D66" s="465"/>
      <c r="E66" s="465"/>
      <c r="F66" s="162" t="s">
        <v>95</v>
      </c>
      <c r="G66" s="163">
        <f t="shared" ref="G66" si="67">+E64*0.4</f>
        <v>2.5600000000000001E-2</v>
      </c>
      <c r="H66" s="164"/>
      <c r="I66" s="165"/>
      <c r="J66" s="166">
        <v>9.9000000000000005E-2</v>
      </c>
      <c r="K66" s="465"/>
      <c r="L66" s="465"/>
      <c r="M66" s="465"/>
      <c r="N66" s="465"/>
      <c r="O66" s="465"/>
      <c r="P66" s="470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s="156" customFormat="1" ht="13.5" customHeight="1" x14ac:dyDescent="0.25">
      <c r="A67" s="146"/>
      <c r="B67" s="485"/>
      <c r="C67" s="465"/>
      <c r="D67" s="465"/>
      <c r="E67" s="465"/>
      <c r="F67" s="162" t="s">
        <v>96</v>
      </c>
      <c r="G67" s="163" t="str">
        <f t="shared" ref="G67" si="68">IF(E64&lt;0.125,"NA",IF(0.125&lt;=E64,(0.8*E64)))</f>
        <v>NA</v>
      </c>
      <c r="H67" s="164"/>
      <c r="I67" s="165"/>
      <c r="J67" s="166"/>
      <c r="K67" s="465"/>
      <c r="L67" s="465"/>
      <c r="M67" s="465"/>
      <c r="N67" s="465"/>
      <c r="O67" s="465"/>
      <c r="P67" s="470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s="156" customFormat="1" ht="13.5" customHeight="1" thickBot="1" x14ac:dyDescent="0.3">
      <c r="A68" s="146"/>
      <c r="B68" s="486"/>
      <c r="C68" s="466"/>
      <c r="D68" s="466"/>
      <c r="E68" s="466"/>
      <c r="F68" s="167" t="s">
        <v>97</v>
      </c>
      <c r="G68" s="168">
        <f t="shared" ref="G68" si="69">+E64</f>
        <v>6.4000000000000001E-2</v>
      </c>
      <c r="H68" s="169"/>
      <c r="I68" s="170"/>
      <c r="J68" s="171">
        <v>0.13400000000000001</v>
      </c>
      <c r="K68" s="466"/>
      <c r="L68" s="466"/>
      <c r="M68" s="466"/>
      <c r="N68" s="466"/>
      <c r="O68" s="466"/>
      <c r="P68" s="471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s="3" customFormat="1" ht="14.1" customHeight="1" x14ac:dyDescent="0.2">
      <c r="B69" s="472" t="s">
        <v>29</v>
      </c>
      <c r="C69" s="475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7"/>
    </row>
    <row r="70" spans="1:26" s="3" customFormat="1" ht="14.1" customHeight="1" x14ac:dyDescent="0.2">
      <c r="B70" s="473"/>
      <c r="C70" s="478"/>
      <c r="D70" s="479"/>
      <c r="E70" s="479"/>
      <c r="F70" s="479"/>
      <c r="G70" s="479"/>
      <c r="H70" s="479"/>
      <c r="I70" s="479"/>
      <c r="J70" s="479"/>
      <c r="K70" s="479"/>
      <c r="L70" s="479"/>
      <c r="M70" s="479"/>
      <c r="N70" s="479"/>
      <c r="O70" s="479"/>
      <c r="P70" s="480"/>
    </row>
    <row r="71" spans="1:26" s="3" customFormat="1" ht="14.1" customHeight="1" x14ac:dyDescent="0.2">
      <c r="B71" s="473"/>
      <c r="C71" s="478"/>
      <c r="D71" s="479"/>
      <c r="E71" s="479"/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80"/>
    </row>
    <row r="72" spans="1:26" s="3" customFormat="1" ht="14.1" customHeight="1" x14ac:dyDescent="0.2">
      <c r="B72" s="473"/>
      <c r="C72" s="478"/>
      <c r="D72" s="479"/>
      <c r="E72" s="479"/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80"/>
    </row>
    <row r="73" spans="1:26" s="3" customFormat="1" ht="14.1" customHeight="1" x14ac:dyDescent="0.2">
      <c r="B73" s="473"/>
      <c r="C73" s="478"/>
      <c r="D73" s="479"/>
      <c r="E73" s="479"/>
      <c r="F73" s="479"/>
      <c r="G73" s="479"/>
      <c r="H73" s="479"/>
      <c r="I73" s="479"/>
      <c r="J73" s="479"/>
      <c r="K73" s="479"/>
      <c r="L73" s="479"/>
      <c r="M73" s="479"/>
      <c r="N73" s="479"/>
      <c r="O73" s="479"/>
      <c r="P73" s="480"/>
    </row>
    <row r="74" spans="1:26" s="3" customFormat="1" ht="14.1" customHeight="1" thickBot="1" x14ac:dyDescent="0.25">
      <c r="B74" s="474"/>
      <c r="C74" s="481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3"/>
    </row>
    <row r="75" spans="1:26" s="3" customFormat="1" ht="28.5" customHeight="1" thickBot="1" x14ac:dyDescent="0.25">
      <c r="A75" s="172"/>
      <c r="B75" s="173" t="s">
        <v>98</v>
      </c>
      <c r="C75" s="451" t="s">
        <v>134</v>
      </c>
      <c r="D75" s="451"/>
      <c r="E75" s="451"/>
      <c r="F75" s="451"/>
      <c r="G75" s="451"/>
      <c r="H75" s="452"/>
      <c r="I75" s="453"/>
      <c r="J75" s="173" t="s">
        <v>100</v>
      </c>
      <c r="K75" s="451" t="s">
        <v>101</v>
      </c>
      <c r="L75" s="451"/>
      <c r="M75" s="451"/>
      <c r="N75" s="451"/>
      <c r="O75" s="451"/>
      <c r="P75" s="452"/>
    </row>
    <row r="76" spans="1:26" s="3" customFormat="1" ht="28.5" customHeight="1" thickBot="1" x14ac:dyDescent="0.25">
      <c r="B76" s="174" t="s">
        <v>102</v>
      </c>
      <c r="C76" s="455" t="s">
        <v>103</v>
      </c>
      <c r="D76" s="455"/>
      <c r="E76" s="455"/>
      <c r="F76" s="455"/>
      <c r="G76" s="455"/>
      <c r="H76" s="456"/>
      <c r="I76" s="454"/>
      <c r="J76" s="174" t="s">
        <v>104</v>
      </c>
      <c r="K76" s="455" t="s">
        <v>105</v>
      </c>
      <c r="L76" s="455"/>
      <c r="M76" s="455"/>
      <c r="N76" s="455"/>
      <c r="O76" s="455"/>
      <c r="P76" s="456"/>
    </row>
    <row r="77" spans="1:26" s="112" customFormat="1" ht="13.5" customHeight="1" x14ac:dyDescent="0.25">
      <c r="A77" s="175"/>
      <c r="B77" s="457">
        <f>B44</f>
        <v>6</v>
      </c>
      <c r="C77" s="460">
        <f>C44-($N$12/2)</f>
        <v>7.0199999999999987</v>
      </c>
      <c r="D77" s="462">
        <f>D39</f>
        <v>0.46899999999999997</v>
      </c>
      <c r="E77" s="462">
        <f>E44</f>
        <v>0.54400000000000004</v>
      </c>
      <c r="F77" s="176" t="s">
        <v>93</v>
      </c>
      <c r="G77" s="176">
        <v>0.01</v>
      </c>
      <c r="H77" s="177"/>
      <c r="I77" s="178"/>
      <c r="J77" s="179">
        <v>0.436</v>
      </c>
      <c r="K77" s="463">
        <f>+AVERAGE(J77:J87)</f>
        <v>0.74099999999999999</v>
      </c>
      <c r="L77" s="442">
        <f>ROUND(+(D77+D82)/2*(C82-C77),3)</f>
        <v>0.38200000000000001</v>
      </c>
      <c r="M77" s="445">
        <f>ROUND(+K77*L77,4)</f>
        <v>0.28310000000000002</v>
      </c>
      <c r="N77" s="442">
        <f>ROUND(+M77/$M$88*100,2)</f>
        <v>18.079999999999998</v>
      </c>
      <c r="O77" s="442"/>
      <c r="P77" s="446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s="112" customFormat="1" ht="13.5" customHeight="1" x14ac:dyDescent="0.25">
      <c r="A78" s="175"/>
      <c r="B78" s="458"/>
      <c r="C78" s="443"/>
      <c r="D78" s="443"/>
      <c r="E78" s="443"/>
      <c r="F78" s="181" t="s">
        <v>106</v>
      </c>
      <c r="G78" s="182">
        <f>+E77*0.1</f>
        <v>5.4400000000000004E-2</v>
      </c>
      <c r="H78" s="183"/>
      <c r="I78" s="184"/>
      <c r="J78" s="185">
        <v>0.67100000000000004</v>
      </c>
      <c r="K78" s="443"/>
      <c r="L78" s="443"/>
      <c r="M78" s="443"/>
      <c r="N78" s="443"/>
      <c r="O78" s="443"/>
      <c r="P78" s="447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s="112" customFormat="1" ht="13.5" customHeight="1" x14ac:dyDescent="0.25">
      <c r="A79" s="175"/>
      <c r="B79" s="458"/>
      <c r="C79" s="443"/>
      <c r="D79" s="443"/>
      <c r="E79" s="443"/>
      <c r="F79" s="181" t="s">
        <v>107</v>
      </c>
      <c r="G79" s="182">
        <f>+E77*0.2</f>
        <v>0.10880000000000001</v>
      </c>
      <c r="H79" s="183"/>
      <c r="I79" s="184"/>
      <c r="J79" s="185">
        <v>0.79500000000000004</v>
      </c>
      <c r="K79" s="443"/>
      <c r="L79" s="443"/>
      <c r="M79" s="443"/>
      <c r="N79" s="443"/>
      <c r="O79" s="443"/>
      <c r="P79" s="447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spans="1:26" s="112" customFormat="1" ht="13.5" customHeight="1" x14ac:dyDescent="0.25">
      <c r="A80" s="175"/>
      <c r="B80" s="458"/>
      <c r="C80" s="443"/>
      <c r="D80" s="443"/>
      <c r="E80" s="443"/>
      <c r="F80" s="181" t="s">
        <v>108</v>
      </c>
      <c r="G80" s="182">
        <f>+E77*0.3</f>
        <v>0.16320000000000001</v>
      </c>
      <c r="H80" s="183"/>
      <c r="I80" s="184"/>
      <c r="J80" s="185">
        <v>0.73099999999999998</v>
      </c>
      <c r="K80" s="443"/>
      <c r="L80" s="443"/>
      <c r="M80" s="443"/>
      <c r="N80" s="443"/>
      <c r="O80" s="443"/>
      <c r="P80" s="447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spans="1:26" s="112" customFormat="1" ht="13.5" customHeight="1" x14ac:dyDescent="0.25">
      <c r="A81" s="175"/>
      <c r="B81" s="458"/>
      <c r="C81" s="461"/>
      <c r="D81" s="461"/>
      <c r="E81" s="443"/>
      <c r="F81" s="181" t="s">
        <v>109</v>
      </c>
      <c r="G81" s="182">
        <f>+E77*0.4</f>
        <v>0.21760000000000002</v>
      </c>
      <c r="H81" s="183"/>
      <c r="I81" s="184"/>
      <c r="J81" s="185">
        <v>0.73599999999999999</v>
      </c>
      <c r="K81" s="443"/>
      <c r="L81" s="443"/>
      <c r="M81" s="443"/>
      <c r="N81" s="443"/>
      <c r="O81" s="443"/>
      <c r="P81" s="447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spans="1:26" s="112" customFormat="1" ht="13.5" customHeight="1" x14ac:dyDescent="0.25">
      <c r="A82" s="175"/>
      <c r="B82" s="458"/>
      <c r="C82" s="449">
        <f>C44+($N$12/2)</f>
        <v>7.8199999999999994</v>
      </c>
      <c r="D82" s="450">
        <f>D44</f>
        <v>0.48699999999999999</v>
      </c>
      <c r="E82" s="443"/>
      <c r="F82" s="181" t="s">
        <v>30</v>
      </c>
      <c r="G82" s="182">
        <f>+E77*0.5</f>
        <v>0.27200000000000002</v>
      </c>
      <c r="H82" s="183"/>
      <c r="I82" s="184"/>
      <c r="J82" s="185">
        <v>0.69199999999999995</v>
      </c>
      <c r="K82" s="443"/>
      <c r="L82" s="443"/>
      <c r="M82" s="443"/>
      <c r="N82" s="443"/>
      <c r="O82" s="443"/>
      <c r="P82" s="447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s="112" customFormat="1" ht="13.5" customHeight="1" x14ac:dyDescent="0.25">
      <c r="A83" s="175"/>
      <c r="B83" s="458"/>
      <c r="C83" s="443"/>
      <c r="D83" s="443"/>
      <c r="E83" s="443"/>
      <c r="F83" s="181" t="s">
        <v>110</v>
      </c>
      <c r="G83" s="182">
        <f>+E77*0.6</f>
        <v>0.32640000000000002</v>
      </c>
      <c r="H83" s="183"/>
      <c r="I83" s="184"/>
      <c r="J83" s="185">
        <v>0.68899999999999995</v>
      </c>
      <c r="K83" s="443"/>
      <c r="L83" s="443"/>
      <c r="M83" s="443"/>
      <c r="N83" s="443"/>
      <c r="O83" s="443"/>
      <c r="P83" s="447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s="112" customFormat="1" ht="13.5" customHeight="1" x14ac:dyDescent="0.25">
      <c r="A84" s="175"/>
      <c r="B84" s="458"/>
      <c r="C84" s="443"/>
      <c r="D84" s="443"/>
      <c r="E84" s="443"/>
      <c r="F84" s="181" t="s">
        <v>111</v>
      </c>
      <c r="G84" s="182">
        <f>+E77*0.7</f>
        <v>0.38080000000000003</v>
      </c>
      <c r="H84" s="183"/>
      <c r="I84" s="184"/>
      <c r="J84" s="185">
        <v>0.71599999999999997</v>
      </c>
      <c r="K84" s="443"/>
      <c r="L84" s="443"/>
      <c r="M84" s="443"/>
      <c r="N84" s="443"/>
      <c r="O84" s="443"/>
      <c r="P84" s="447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s="112" customFormat="1" ht="13.5" customHeight="1" x14ac:dyDescent="0.25">
      <c r="A85" s="175"/>
      <c r="B85" s="458"/>
      <c r="C85" s="443"/>
      <c r="D85" s="443"/>
      <c r="E85" s="443"/>
      <c r="F85" s="181" t="s">
        <v>112</v>
      </c>
      <c r="G85" s="182">
        <f>+E77*0.8</f>
        <v>0.43520000000000003</v>
      </c>
      <c r="H85" s="183"/>
      <c r="I85" s="184"/>
      <c r="J85" s="185">
        <v>0.88300000000000001</v>
      </c>
      <c r="K85" s="443"/>
      <c r="L85" s="443"/>
      <c r="M85" s="443"/>
      <c r="N85" s="443"/>
      <c r="O85" s="443"/>
      <c r="P85" s="447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s="112" customFormat="1" ht="13.5" customHeight="1" x14ac:dyDescent="0.25">
      <c r="A86" s="175"/>
      <c r="B86" s="458"/>
      <c r="C86" s="443"/>
      <c r="D86" s="443"/>
      <c r="E86" s="443"/>
      <c r="F86" s="181" t="s">
        <v>113</v>
      </c>
      <c r="G86" s="182">
        <f>+E77*0.9</f>
        <v>0.48960000000000004</v>
      </c>
      <c r="H86" s="183"/>
      <c r="I86" s="184"/>
      <c r="J86" s="185">
        <v>0.85299999999999998</v>
      </c>
      <c r="K86" s="443"/>
      <c r="L86" s="443"/>
      <c r="M86" s="443"/>
      <c r="N86" s="443"/>
      <c r="O86" s="443"/>
      <c r="P86" s="447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s="112" customFormat="1" ht="15.75" thickBot="1" x14ac:dyDescent="0.3">
      <c r="A87" s="175"/>
      <c r="B87" s="459"/>
      <c r="C87" s="444"/>
      <c r="D87" s="444"/>
      <c r="E87" s="444"/>
      <c r="F87" s="186" t="s">
        <v>31</v>
      </c>
      <c r="G87" s="186">
        <f>+E77</f>
        <v>0.54400000000000004</v>
      </c>
      <c r="H87" s="187"/>
      <c r="I87" s="188"/>
      <c r="J87" s="189">
        <v>0.94899999999999995</v>
      </c>
      <c r="K87" s="444"/>
      <c r="L87" s="444"/>
      <c r="M87" s="444"/>
      <c r="N87" s="444"/>
      <c r="O87" s="444"/>
      <c r="P87" s="448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s="3" customFormat="1" ht="12.75" x14ac:dyDescent="0.2">
      <c r="A88" s="11"/>
      <c r="B88" s="430" t="s">
        <v>32</v>
      </c>
      <c r="C88" s="430"/>
      <c r="D88" s="430"/>
      <c r="E88" s="430"/>
      <c r="F88" s="430"/>
      <c r="G88" s="430"/>
      <c r="H88" s="430"/>
      <c r="I88" s="430"/>
      <c r="J88" s="430"/>
      <c r="K88" s="12">
        <f>ROUND(+M88/L88,3)</f>
        <v>0.63</v>
      </c>
      <c r="L88" s="16">
        <f>SUM(L19:L87)</f>
        <v>2.4830000000000001</v>
      </c>
      <c r="M88" s="15">
        <f>SUM(M19:M87)</f>
        <v>1.5653999999999999</v>
      </c>
      <c r="N88" s="13">
        <f>ROUND(SUM(N19:N87),0)</f>
        <v>100</v>
      </c>
      <c r="O88" s="432" t="s">
        <v>33</v>
      </c>
      <c r="P88" s="434"/>
    </row>
    <row r="89" spans="1:26" s="3" customFormat="1" ht="15" customHeight="1" thickBot="1" x14ac:dyDescent="0.25">
      <c r="A89" s="11"/>
      <c r="B89" s="431"/>
      <c r="C89" s="431"/>
      <c r="D89" s="431"/>
      <c r="E89" s="431"/>
      <c r="F89" s="431"/>
      <c r="G89" s="431"/>
      <c r="H89" s="431"/>
      <c r="I89" s="431"/>
      <c r="J89" s="431"/>
      <c r="K89" s="14" t="s">
        <v>34</v>
      </c>
      <c r="L89" s="14" t="s">
        <v>50</v>
      </c>
      <c r="M89" s="14" t="s">
        <v>51</v>
      </c>
      <c r="N89" s="14" t="s">
        <v>35</v>
      </c>
      <c r="O89" s="433"/>
      <c r="P89" s="435"/>
    </row>
    <row r="90" spans="1:26" ht="15" customHeight="1" thickBot="1" x14ac:dyDescent="0.3">
      <c r="A90" s="5"/>
      <c r="B90" s="436" t="s">
        <v>116</v>
      </c>
      <c r="C90" s="437"/>
      <c r="D90" s="437"/>
      <c r="E90" s="437"/>
      <c r="F90" s="438"/>
      <c r="G90" s="436" t="s">
        <v>117</v>
      </c>
      <c r="H90" s="437"/>
      <c r="I90" s="437"/>
      <c r="J90" s="437"/>
      <c r="K90" s="438"/>
      <c r="L90" s="439" t="s">
        <v>53</v>
      </c>
      <c r="M90" s="440"/>
      <c r="N90" s="440"/>
      <c r="O90" s="440"/>
      <c r="P90" s="441"/>
    </row>
    <row r="91" spans="1:26" ht="15" customHeight="1" x14ac:dyDescent="0.25">
      <c r="A91" s="5"/>
      <c r="B91" s="400"/>
      <c r="C91" s="401"/>
      <c r="D91" s="401"/>
      <c r="E91" s="401"/>
      <c r="F91" s="402"/>
      <c r="G91" s="400"/>
      <c r="H91" s="401"/>
      <c r="I91" s="401"/>
      <c r="J91" s="401"/>
      <c r="K91" s="402"/>
      <c r="L91" s="409" t="s">
        <v>118</v>
      </c>
      <c r="M91" s="410"/>
      <c r="N91" s="410"/>
      <c r="O91" s="411">
        <f>+AVERAGE(E18:E68)</f>
        <v>0.36820000000000003</v>
      </c>
      <c r="P91" s="412"/>
    </row>
    <row r="92" spans="1:26" ht="15" customHeight="1" thickBot="1" x14ac:dyDescent="0.3">
      <c r="A92" s="5"/>
      <c r="B92" s="403"/>
      <c r="C92" s="404"/>
      <c r="D92" s="404"/>
      <c r="E92" s="404"/>
      <c r="F92" s="405"/>
      <c r="G92" s="403"/>
      <c r="H92" s="404"/>
      <c r="I92" s="404"/>
      <c r="J92" s="404"/>
      <c r="K92" s="405"/>
      <c r="L92" s="413" t="s">
        <v>119</v>
      </c>
      <c r="M92" s="414"/>
      <c r="N92" s="414"/>
      <c r="O92" s="415">
        <f>+MAX(E18:E68)</f>
        <v>0.54400000000000004</v>
      </c>
      <c r="P92" s="416"/>
    </row>
    <row r="93" spans="1:26" ht="18.600000000000001" customHeight="1" x14ac:dyDescent="0.25">
      <c r="A93" s="6"/>
      <c r="B93" s="403"/>
      <c r="C93" s="404"/>
      <c r="D93" s="404"/>
      <c r="E93" s="404"/>
      <c r="F93" s="405"/>
      <c r="G93" s="403"/>
      <c r="H93" s="404"/>
      <c r="I93" s="404"/>
      <c r="J93" s="404"/>
      <c r="K93" s="405"/>
      <c r="L93" s="417"/>
      <c r="M93" s="418"/>
      <c r="N93" s="418"/>
      <c r="O93" s="418"/>
      <c r="P93" s="419"/>
    </row>
    <row r="94" spans="1:26" ht="42" customHeight="1" x14ac:dyDescent="0.25">
      <c r="A94" s="10"/>
      <c r="B94" s="403"/>
      <c r="C94" s="404"/>
      <c r="D94" s="404"/>
      <c r="E94" s="404"/>
      <c r="F94" s="405"/>
      <c r="G94" s="403"/>
      <c r="H94" s="404"/>
      <c r="I94" s="404"/>
      <c r="J94" s="404"/>
      <c r="K94" s="405"/>
      <c r="L94" s="420"/>
      <c r="M94" s="421"/>
      <c r="N94" s="421"/>
      <c r="O94" s="421"/>
      <c r="P94" s="422"/>
    </row>
    <row r="95" spans="1:26" ht="15" customHeight="1" thickBot="1" x14ac:dyDescent="0.3">
      <c r="A95" s="5"/>
      <c r="B95" s="403"/>
      <c r="C95" s="404"/>
      <c r="D95" s="404"/>
      <c r="E95" s="404"/>
      <c r="F95" s="405"/>
      <c r="G95" s="403"/>
      <c r="H95" s="404"/>
      <c r="I95" s="404"/>
      <c r="J95" s="404"/>
      <c r="K95" s="405"/>
      <c r="L95" s="423"/>
      <c r="M95" s="424"/>
      <c r="N95" s="424"/>
      <c r="O95" s="424"/>
      <c r="P95" s="425"/>
    </row>
    <row r="96" spans="1:26" ht="22.5" customHeight="1" thickBot="1" x14ac:dyDescent="0.3">
      <c r="A96" s="5"/>
      <c r="B96" s="403"/>
      <c r="C96" s="404"/>
      <c r="D96" s="404"/>
      <c r="E96" s="404"/>
      <c r="F96" s="405"/>
      <c r="G96" s="403"/>
      <c r="H96" s="404"/>
      <c r="I96" s="404"/>
      <c r="J96" s="404"/>
      <c r="K96" s="405"/>
      <c r="L96" s="426" t="s">
        <v>36</v>
      </c>
      <c r="M96" s="427"/>
      <c r="N96" s="427"/>
      <c r="O96" s="427"/>
      <c r="P96" s="190">
        <v>6.62</v>
      </c>
    </row>
    <row r="97" spans="1:16" ht="32.25" customHeight="1" thickBot="1" x14ac:dyDescent="0.3">
      <c r="A97" s="5"/>
      <c r="B97" s="406"/>
      <c r="C97" s="407"/>
      <c r="D97" s="407"/>
      <c r="E97" s="407"/>
      <c r="F97" s="408"/>
      <c r="G97" s="406"/>
      <c r="H97" s="407"/>
      <c r="I97" s="407"/>
      <c r="J97" s="407"/>
      <c r="K97" s="408"/>
      <c r="L97" s="428" t="s">
        <v>52</v>
      </c>
      <c r="M97" s="429"/>
      <c r="N97" s="429"/>
      <c r="O97" s="429"/>
      <c r="P97" s="190">
        <v>0.29680000000000001</v>
      </c>
    </row>
    <row r="98" spans="1:16" ht="23.45" customHeight="1" thickBot="1" x14ac:dyDescent="0.3">
      <c r="A98" s="7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</row>
    <row r="99" spans="1:16" ht="15.75" thickBot="1" x14ac:dyDescent="0.3">
      <c r="A99" s="390" t="s">
        <v>37</v>
      </c>
      <c r="B99" s="391"/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1"/>
      <c r="N99" s="391"/>
      <c r="O99" s="391"/>
      <c r="P99" s="392"/>
    </row>
    <row r="100" spans="1:16" ht="159" customHeight="1" thickBot="1" x14ac:dyDescent="0.3">
      <c r="A100" s="4"/>
      <c r="B100" s="393"/>
      <c r="C100" s="394"/>
      <c r="D100" s="394"/>
      <c r="E100" s="394"/>
      <c r="F100" s="395"/>
      <c r="G100" s="393"/>
      <c r="H100" s="394"/>
      <c r="I100" s="394"/>
      <c r="J100" s="394"/>
      <c r="K100" s="395"/>
      <c r="L100" s="393"/>
      <c r="M100" s="394"/>
      <c r="N100" s="394"/>
      <c r="O100" s="394"/>
      <c r="P100" s="396"/>
    </row>
    <row r="101" spans="1:16" ht="21.75" customHeight="1" thickBot="1" x14ac:dyDescent="0.3">
      <c r="A101" s="4"/>
      <c r="B101" s="576" t="s">
        <v>138</v>
      </c>
      <c r="C101" s="577"/>
      <c r="D101" s="577"/>
      <c r="E101" s="577"/>
      <c r="F101" s="578"/>
      <c r="G101" s="576" t="s">
        <v>139</v>
      </c>
      <c r="H101" s="577"/>
      <c r="I101" s="577"/>
      <c r="J101" s="577"/>
      <c r="K101" s="578"/>
      <c r="L101" s="576" t="s">
        <v>54</v>
      </c>
      <c r="M101" s="577"/>
      <c r="N101" s="577"/>
      <c r="O101" s="577"/>
      <c r="P101" s="579"/>
    </row>
    <row r="102" spans="1:16" s="9" customFormat="1" ht="16.899999999999999" customHeight="1" thickBot="1" x14ac:dyDescent="0.3">
      <c r="A102" s="8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5"/>
    </row>
    <row r="103" spans="1:16" s="3" customFormat="1" ht="15.75" customHeight="1" thickBot="1" x14ac:dyDescent="0.25">
      <c r="A103" s="386" t="s">
        <v>38</v>
      </c>
      <c r="B103" s="387"/>
      <c r="C103" s="387"/>
      <c r="D103" s="387"/>
      <c r="E103" s="387"/>
      <c r="F103" s="387"/>
      <c r="G103" s="387"/>
      <c r="H103" s="387"/>
      <c r="I103" s="387"/>
      <c r="J103" s="387" t="s">
        <v>39</v>
      </c>
      <c r="K103" s="387"/>
      <c r="L103" s="387"/>
      <c r="M103" s="387"/>
      <c r="N103" s="387"/>
      <c r="O103" s="387"/>
      <c r="P103" s="388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3"/>
  <sheetViews>
    <sheetView view="pageBreakPreview" topLeftCell="E1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10"/>
    </row>
    <row r="2" spans="1:26" s="2" customFormat="1" ht="30" customHeight="1" x14ac:dyDescent="0.25">
      <c r="A2" s="585"/>
      <c r="B2" s="586"/>
      <c r="C2" s="587"/>
      <c r="D2" s="588"/>
      <c r="E2" s="589" t="s">
        <v>146</v>
      </c>
      <c r="F2" s="590"/>
      <c r="G2" s="590"/>
      <c r="H2" s="590"/>
      <c r="I2" s="590"/>
      <c r="J2" s="590"/>
      <c r="K2" s="590"/>
      <c r="L2" s="590"/>
      <c r="M2" s="590"/>
      <c r="N2" s="590"/>
      <c r="O2" s="591"/>
      <c r="P2" s="592"/>
    </row>
    <row r="3" spans="1:26" s="2" customFormat="1" ht="26.25" customHeight="1" thickBot="1" x14ac:dyDescent="0.3">
      <c r="A3" s="585"/>
      <c r="B3" s="593"/>
      <c r="C3" s="594"/>
      <c r="D3" s="595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8"/>
      <c r="P3" s="599"/>
    </row>
    <row r="4" spans="1:26" s="112" customFormat="1" ht="11.25" customHeight="1" thickBot="1" x14ac:dyDescent="0.3">
      <c r="A4" s="111"/>
      <c r="B4" s="570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19" customFormat="1" ht="31.5" customHeight="1" thickBot="1" x14ac:dyDescent="0.3">
      <c r="A5" s="113"/>
      <c r="B5" s="114" t="s">
        <v>0</v>
      </c>
      <c r="C5" s="571">
        <v>43154</v>
      </c>
      <c r="D5" s="572"/>
      <c r="E5" s="115" t="s">
        <v>1</v>
      </c>
      <c r="F5" s="116">
        <v>4</v>
      </c>
      <c r="G5" s="117" t="s">
        <v>2</v>
      </c>
      <c r="H5" s="573" t="s">
        <v>147</v>
      </c>
      <c r="I5" s="574"/>
      <c r="J5" s="574"/>
      <c r="K5" s="574"/>
      <c r="L5" s="574"/>
      <c r="M5" s="574"/>
      <c r="N5" s="574"/>
      <c r="O5" s="574"/>
      <c r="P5" s="575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s="124" customFormat="1" ht="21.75" customHeight="1" thickBot="1" x14ac:dyDescent="0.3">
      <c r="A6" s="120"/>
      <c r="B6" s="554" t="s">
        <v>3</v>
      </c>
      <c r="C6" s="555"/>
      <c r="D6" s="556" t="s">
        <v>140</v>
      </c>
      <c r="E6" s="557"/>
      <c r="F6" s="557"/>
      <c r="G6" s="557"/>
      <c r="H6" s="557"/>
      <c r="I6" s="558"/>
      <c r="J6" s="121" t="s">
        <v>4</v>
      </c>
      <c r="K6" s="559" t="s">
        <v>141</v>
      </c>
      <c r="L6" s="558"/>
      <c r="M6" s="559" t="s">
        <v>142</v>
      </c>
      <c r="N6" s="560"/>
      <c r="O6" s="122" t="s">
        <v>59</v>
      </c>
      <c r="P6" s="123">
        <v>1110</v>
      </c>
    </row>
    <row r="7" spans="1:26" s="119" customFormat="1" ht="21.75" customHeight="1" x14ac:dyDescent="0.25">
      <c r="B7" s="561" t="s">
        <v>60</v>
      </c>
      <c r="C7" s="562" t="s">
        <v>61</v>
      </c>
      <c r="D7" s="532"/>
      <c r="E7" s="125"/>
      <c r="F7" s="563" t="s">
        <v>62</v>
      </c>
      <c r="G7" s="564"/>
      <c r="H7" s="564"/>
      <c r="I7" s="564"/>
      <c r="J7" s="565" t="s">
        <v>63</v>
      </c>
      <c r="K7" s="566"/>
      <c r="L7" s="566"/>
      <c r="M7" s="567"/>
      <c r="N7" s="568" t="s">
        <v>124</v>
      </c>
      <c r="O7" s="569"/>
      <c r="P7" s="126" t="s">
        <v>65</v>
      </c>
    </row>
    <row r="8" spans="1:26" s="119" customFormat="1" ht="21.75" customHeight="1" thickBot="1" x14ac:dyDescent="0.3">
      <c r="B8" s="506"/>
      <c r="C8" s="523" t="s">
        <v>66</v>
      </c>
      <c r="D8" s="522"/>
      <c r="E8" s="127" t="s">
        <v>5</v>
      </c>
      <c r="F8" s="533" t="s">
        <v>6</v>
      </c>
      <c r="G8" s="534"/>
      <c r="H8" s="534"/>
      <c r="I8" s="534"/>
      <c r="J8" s="535"/>
      <c r="K8" s="536"/>
      <c r="L8" s="536"/>
      <c r="M8" s="537"/>
      <c r="N8" s="538"/>
      <c r="O8" s="539"/>
      <c r="P8" s="128"/>
    </row>
    <row r="9" spans="1:26" s="119" customFormat="1" ht="21.75" customHeight="1" x14ac:dyDescent="0.25">
      <c r="B9" s="540" t="s">
        <v>7</v>
      </c>
      <c r="C9" s="543" t="s">
        <v>67</v>
      </c>
      <c r="D9" s="544" t="s">
        <v>68</v>
      </c>
      <c r="E9" s="529"/>
      <c r="F9" s="129"/>
      <c r="G9" s="545" t="s">
        <v>8</v>
      </c>
      <c r="H9" s="546" t="s">
        <v>9</v>
      </c>
      <c r="I9" s="532"/>
      <c r="J9" s="130"/>
      <c r="K9" s="543" t="s">
        <v>69</v>
      </c>
      <c r="L9" s="547" t="s">
        <v>143</v>
      </c>
      <c r="M9" s="548"/>
      <c r="N9" s="549"/>
      <c r="O9" s="549"/>
      <c r="P9" s="550"/>
    </row>
    <row r="10" spans="1:26" s="119" customFormat="1" ht="21.75" customHeight="1" thickBot="1" x14ac:dyDescent="0.3">
      <c r="B10" s="541"/>
      <c r="C10" s="486"/>
      <c r="D10" s="527" t="s">
        <v>71</v>
      </c>
      <c r="E10" s="522"/>
      <c r="F10" s="131" t="s">
        <v>5</v>
      </c>
      <c r="G10" s="486"/>
      <c r="H10" s="527" t="s">
        <v>10</v>
      </c>
      <c r="I10" s="522"/>
      <c r="J10" s="132" t="s">
        <v>5</v>
      </c>
      <c r="K10" s="486"/>
      <c r="L10" s="551"/>
      <c r="M10" s="552"/>
      <c r="N10" s="552"/>
      <c r="O10" s="552"/>
      <c r="P10" s="553"/>
    </row>
    <row r="11" spans="1:26" s="119" customFormat="1" ht="21.75" customHeight="1" x14ac:dyDescent="0.25">
      <c r="A11" s="113"/>
      <c r="B11" s="541"/>
      <c r="C11" s="528" t="s">
        <v>11</v>
      </c>
      <c r="D11" s="529"/>
      <c r="E11" s="133">
        <v>0.4375</v>
      </c>
      <c r="F11" s="530" t="s">
        <v>12</v>
      </c>
      <c r="G11" s="529"/>
      <c r="H11" s="134">
        <v>163</v>
      </c>
      <c r="I11" s="531" t="s">
        <v>13</v>
      </c>
      <c r="J11" s="532"/>
      <c r="K11" s="134">
        <v>20</v>
      </c>
      <c r="L11" s="528" t="s">
        <v>14</v>
      </c>
      <c r="M11" s="529"/>
      <c r="N11" s="135">
        <v>7.8</v>
      </c>
      <c r="O11" s="519" t="s">
        <v>72</v>
      </c>
      <c r="P11" s="520"/>
    </row>
    <row r="12" spans="1:26" s="119" customFormat="1" ht="21.75" customHeight="1" thickBot="1" x14ac:dyDescent="0.3">
      <c r="A12" s="113"/>
      <c r="B12" s="542"/>
      <c r="C12" s="521" t="s">
        <v>15</v>
      </c>
      <c r="D12" s="522"/>
      <c r="E12" s="133">
        <v>0.4909722222222222</v>
      </c>
      <c r="F12" s="523" t="s">
        <v>16</v>
      </c>
      <c r="G12" s="522"/>
      <c r="H12" s="134">
        <v>163</v>
      </c>
      <c r="I12" s="524" t="s">
        <v>17</v>
      </c>
      <c r="J12" s="522"/>
      <c r="K12" s="133">
        <v>0.41666666666666669</v>
      </c>
      <c r="L12" s="521" t="s">
        <v>18</v>
      </c>
      <c r="M12" s="522"/>
      <c r="N12" s="136">
        <v>0.5</v>
      </c>
      <c r="O12" s="525">
        <v>2.82</v>
      </c>
      <c r="P12" s="526"/>
    </row>
    <row r="13" spans="1:26" s="119" customFormat="1" ht="21.75" customHeight="1" x14ac:dyDescent="0.25">
      <c r="A13" s="113"/>
      <c r="B13" s="504" t="s">
        <v>19</v>
      </c>
      <c r="C13" s="507" t="s">
        <v>125</v>
      </c>
      <c r="D13" s="508"/>
      <c r="E13" s="508"/>
      <c r="F13" s="509" t="s">
        <v>126</v>
      </c>
      <c r="G13" s="508"/>
      <c r="H13" s="508"/>
      <c r="I13" s="508"/>
      <c r="J13" s="509" t="s">
        <v>127</v>
      </c>
      <c r="K13" s="508"/>
      <c r="L13" s="508"/>
      <c r="M13" s="508"/>
      <c r="N13" s="510" t="s">
        <v>128</v>
      </c>
      <c r="O13" s="508"/>
      <c r="P13" s="511"/>
      <c r="Q13" s="137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s="119" customFormat="1" ht="21.75" customHeight="1" x14ac:dyDescent="0.25">
      <c r="A14" s="113"/>
      <c r="B14" s="505"/>
      <c r="C14" s="512" t="s">
        <v>129</v>
      </c>
      <c r="D14" s="513"/>
      <c r="E14" s="513"/>
      <c r="F14" s="514" t="s">
        <v>130</v>
      </c>
      <c r="G14" s="513"/>
      <c r="H14" s="513"/>
      <c r="I14" s="513"/>
      <c r="J14" s="515" t="s">
        <v>131</v>
      </c>
      <c r="K14" s="513"/>
      <c r="L14" s="513"/>
      <c r="M14" s="513"/>
      <c r="N14" s="516"/>
      <c r="O14" s="501"/>
      <c r="P14" s="517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s="119" customFormat="1" ht="21.75" customHeight="1" thickBot="1" x14ac:dyDescent="0.3">
      <c r="A15" s="113"/>
      <c r="B15" s="506"/>
      <c r="C15" s="518" t="s">
        <v>132</v>
      </c>
      <c r="D15" s="488"/>
      <c r="E15" s="488"/>
      <c r="F15" s="488" t="s">
        <v>133</v>
      </c>
      <c r="G15" s="489"/>
      <c r="H15" s="489"/>
      <c r="I15" s="489"/>
      <c r="J15" s="488" t="s">
        <v>82</v>
      </c>
      <c r="K15" s="489"/>
      <c r="L15" s="489"/>
      <c r="M15" s="489"/>
      <c r="N15" s="490"/>
      <c r="O15" s="491"/>
      <c r="P15" s="492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s="119" customFormat="1" ht="21.75" customHeight="1" x14ac:dyDescent="0.25">
      <c r="A16" s="113"/>
      <c r="B16" s="493" t="s">
        <v>20</v>
      </c>
      <c r="C16" s="495" t="s">
        <v>21</v>
      </c>
      <c r="D16" s="495" t="s">
        <v>42</v>
      </c>
      <c r="E16" s="497" t="s">
        <v>22</v>
      </c>
      <c r="F16" s="498" t="s">
        <v>43</v>
      </c>
      <c r="G16" s="499"/>
      <c r="H16" s="495" t="s">
        <v>85</v>
      </c>
      <c r="I16" s="502" t="s">
        <v>86</v>
      </c>
      <c r="J16" s="138" t="s">
        <v>44</v>
      </c>
      <c r="K16" s="139"/>
      <c r="L16" s="140" t="s">
        <v>45</v>
      </c>
      <c r="M16" s="140" t="s">
        <v>46</v>
      </c>
      <c r="N16" s="140" t="s">
        <v>46</v>
      </c>
      <c r="O16" s="140" t="s">
        <v>47</v>
      </c>
      <c r="P16" s="141" t="s">
        <v>23</v>
      </c>
    </row>
    <row r="17" spans="1:26" s="119" customFormat="1" ht="21.75" customHeight="1" thickBot="1" x14ac:dyDescent="0.3">
      <c r="A17" s="142"/>
      <c r="B17" s="494"/>
      <c r="C17" s="496"/>
      <c r="D17" s="496"/>
      <c r="E17" s="496"/>
      <c r="F17" s="500"/>
      <c r="G17" s="501"/>
      <c r="H17" s="496"/>
      <c r="I17" s="503"/>
      <c r="J17" s="143" t="s">
        <v>24</v>
      </c>
      <c r="K17" s="144" t="s">
        <v>25</v>
      </c>
      <c r="L17" s="144" t="s">
        <v>48</v>
      </c>
      <c r="M17" s="144" t="s">
        <v>49</v>
      </c>
      <c r="N17" s="144" t="s">
        <v>26</v>
      </c>
      <c r="O17" s="144" t="s">
        <v>27</v>
      </c>
      <c r="P17" s="145" t="s">
        <v>28</v>
      </c>
    </row>
    <row r="18" spans="1:26" s="156" customFormat="1" ht="21.75" customHeight="1" thickBot="1" x14ac:dyDescent="0.3">
      <c r="A18" s="146"/>
      <c r="B18" s="147"/>
      <c r="C18" s="148">
        <f>+O12</f>
        <v>2.82</v>
      </c>
      <c r="D18" s="148">
        <v>2.1000000000000001E-2</v>
      </c>
      <c r="E18" s="149"/>
      <c r="F18" s="150"/>
      <c r="G18" s="151"/>
      <c r="H18" s="152"/>
      <c r="I18" s="153"/>
      <c r="J18" s="154"/>
      <c r="K18" s="149"/>
      <c r="L18" s="149"/>
      <c r="M18" s="149"/>
      <c r="N18" s="149"/>
      <c r="O18" s="149"/>
      <c r="P18" s="155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s="156" customFormat="1" ht="13.5" customHeight="1" x14ac:dyDescent="0.25">
      <c r="A19" s="146"/>
      <c r="B19" s="484">
        <v>1</v>
      </c>
      <c r="C19" s="487">
        <f>+C18+$N$12</f>
        <v>3.32</v>
      </c>
      <c r="D19" s="464">
        <v>5.8000000000000003E-2</v>
      </c>
      <c r="E19" s="464">
        <v>3.4000000000000002E-2</v>
      </c>
      <c r="F19" s="157" t="s">
        <v>93</v>
      </c>
      <c r="G19" s="158">
        <v>0</v>
      </c>
      <c r="H19" s="159"/>
      <c r="I19" s="160"/>
      <c r="J19" s="161">
        <v>0.129</v>
      </c>
      <c r="K19" s="464">
        <f>+IF(E19&lt;=0.12,(J21),(IF(E19&lt;0.16,((J20+2*J21+J22)/4),IF(E19&gt;=0.16,((J19+3*J20+2*J21+3*J22+J23)/10)))))</f>
        <v>0.129</v>
      </c>
      <c r="L19" s="464">
        <f>ROUND(+(D18+D19)/2*(C19-C18),3)</f>
        <v>0.02</v>
      </c>
      <c r="M19" s="464">
        <f>ROUND(+K19*L19,4)</f>
        <v>2.5999999999999999E-3</v>
      </c>
      <c r="N19" s="467">
        <f>ROUND(+M19/$M$118*100,2)</f>
        <v>0.27</v>
      </c>
      <c r="O19" s="468"/>
      <c r="P19" s="469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s="156" customFormat="1" ht="13.5" customHeight="1" x14ac:dyDescent="0.25">
      <c r="A20" s="146"/>
      <c r="B20" s="485"/>
      <c r="C20" s="465"/>
      <c r="D20" s="465"/>
      <c r="E20" s="465"/>
      <c r="F20" s="162" t="s">
        <v>94</v>
      </c>
      <c r="G20" s="163" t="str">
        <f>IF(E19&lt;0.125,"NA",IF(0.125&lt;=E19,(0.2*E19)))</f>
        <v>NA</v>
      </c>
      <c r="H20" s="164"/>
      <c r="I20" s="165"/>
      <c r="J20" s="166"/>
      <c r="K20" s="465"/>
      <c r="L20" s="465"/>
      <c r="M20" s="465"/>
      <c r="N20" s="465"/>
      <c r="O20" s="465"/>
      <c r="P20" s="470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s="156" customFormat="1" ht="13.5" customHeight="1" x14ac:dyDescent="0.25">
      <c r="A21" s="146"/>
      <c r="B21" s="485"/>
      <c r="C21" s="465"/>
      <c r="D21" s="465"/>
      <c r="E21" s="465"/>
      <c r="F21" s="162" t="s">
        <v>95</v>
      </c>
      <c r="G21" s="163">
        <f>+E19*0.4</f>
        <v>1.3600000000000001E-2</v>
      </c>
      <c r="H21" s="164"/>
      <c r="I21" s="165"/>
      <c r="J21" s="166">
        <v>0.129</v>
      </c>
      <c r="K21" s="465"/>
      <c r="L21" s="465"/>
      <c r="M21" s="465"/>
      <c r="N21" s="465"/>
      <c r="O21" s="465"/>
      <c r="P21" s="470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s="156" customFormat="1" ht="13.5" customHeight="1" x14ac:dyDescent="0.25">
      <c r="A22" s="146"/>
      <c r="B22" s="485"/>
      <c r="C22" s="465"/>
      <c r="D22" s="465"/>
      <c r="E22" s="465"/>
      <c r="F22" s="162" t="s">
        <v>96</v>
      </c>
      <c r="G22" s="163" t="str">
        <f>IF(E19&lt;0.125,"NA",IF(0.125&lt;=E19,(0.8*E19)))</f>
        <v>NA</v>
      </c>
      <c r="H22" s="164"/>
      <c r="I22" s="165"/>
      <c r="J22" s="166"/>
      <c r="K22" s="465"/>
      <c r="L22" s="465"/>
      <c r="M22" s="465"/>
      <c r="N22" s="465"/>
      <c r="O22" s="465"/>
      <c r="P22" s="470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s="156" customFormat="1" ht="13.5" customHeight="1" thickBot="1" x14ac:dyDescent="0.3">
      <c r="A23" s="146"/>
      <c r="B23" s="486"/>
      <c r="C23" s="466"/>
      <c r="D23" s="466"/>
      <c r="E23" s="466"/>
      <c r="F23" s="167" t="s">
        <v>97</v>
      </c>
      <c r="G23" s="168">
        <f>+E19</f>
        <v>3.4000000000000002E-2</v>
      </c>
      <c r="H23" s="169"/>
      <c r="I23" s="170"/>
      <c r="J23" s="171"/>
      <c r="K23" s="466"/>
      <c r="L23" s="466"/>
      <c r="M23" s="466"/>
      <c r="N23" s="466"/>
      <c r="O23" s="466"/>
      <c r="P23" s="471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s="156" customFormat="1" ht="13.5" customHeight="1" x14ac:dyDescent="0.25">
      <c r="A24" s="146"/>
      <c r="B24" s="484">
        <v>2</v>
      </c>
      <c r="C24" s="487">
        <f>+C19+$N$12</f>
        <v>3.82</v>
      </c>
      <c r="D24" s="464">
        <v>0.15</v>
      </c>
      <c r="E24" s="464">
        <v>9.8000000000000004E-2</v>
      </c>
      <c r="F24" s="157" t="s">
        <v>93</v>
      </c>
      <c r="G24" s="158">
        <v>0</v>
      </c>
      <c r="H24" s="159"/>
      <c r="I24" s="160"/>
      <c r="J24" s="161">
        <v>0.12</v>
      </c>
      <c r="K24" s="464">
        <f>+IF(E24&lt;=0.12,(J26),(IF(E24&lt;0.16,((J25+2*J26+J27)/4),IF(E24&gt;=0.16,((J24+3*J25+2*J26+3*J27+J28)/10)))))</f>
        <v>0.214</v>
      </c>
      <c r="L24" s="464">
        <f>ROUND(+(D19+D24)/2*(C24-C19),3)</f>
        <v>5.1999999999999998E-2</v>
      </c>
      <c r="M24" s="464">
        <f>ROUND(+K24*L24,4)</f>
        <v>1.11E-2</v>
      </c>
      <c r="N24" s="467">
        <f>ROUND(+M24/$M$118*100,2)</f>
        <v>1.17</v>
      </c>
      <c r="O24" s="468"/>
      <c r="P24" s="469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s="156" customFormat="1" ht="13.5" customHeight="1" x14ac:dyDescent="0.25">
      <c r="A25" s="146"/>
      <c r="B25" s="485"/>
      <c r="C25" s="465"/>
      <c r="D25" s="465"/>
      <c r="E25" s="465"/>
      <c r="F25" s="162" t="s">
        <v>94</v>
      </c>
      <c r="G25" s="163" t="str">
        <f t="shared" ref="G25" si="0">IF(E24&lt;0.125,"NA",IF(0.125&lt;=E24,(0.2*E24)))</f>
        <v>NA</v>
      </c>
      <c r="H25" s="164"/>
      <c r="I25" s="165"/>
      <c r="J25" s="166"/>
      <c r="K25" s="465"/>
      <c r="L25" s="465"/>
      <c r="M25" s="465"/>
      <c r="N25" s="465"/>
      <c r="O25" s="465"/>
      <c r="P25" s="470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s="156" customFormat="1" ht="13.5" customHeight="1" x14ac:dyDescent="0.25">
      <c r="A26" s="146"/>
      <c r="B26" s="485"/>
      <c r="C26" s="465"/>
      <c r="D26" s="465"/>
      <c r="E26" s="465"/>
      <c r="F26" s="162" t="s">
        <v>95</v>
      </c>
      <c r="G26" s="163">
        <f t="shared" ref="G26" si="1">+E24*0.4</f>
        <v>3.9200000000000006E-2</v>
      </c>
      <c r="H26" s="164"/>
      <c r="I26" s="165"/>
      <c r="J26" s="166">
        <v>0.214</v>
      </c>
      <c r="K26" s="465"/>
      <c r="L26" s="465"/>
      <c r="M26" s="465"/>
      <c r="N26" s="465"/>
      <c r="O26" s="465"/>
      <c r="P26" s="470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s="156" customFormat="1" ht="13.5" customHeight="1" x14ac:dyDescent="0.25">
      <c r="A27" s="146"/>
      <c r="B27" s="485"/>
      <c r="C27" s="465"/>
      <c r="D27" s="465"/>
      <c r="E27" s="465"/>
      <c r="F27" s="162" t="s">
        <v>96</v>
      </c>
      <c r="G27" s="163" t="str">
        <f t="shared" ref="G27" si="2">IF(E24&lt;0.125,"NA",IF(0.125&lt;=E24,(0.8*E24)))</f>
        <v>NA</v>
      </c>
      <c r="H27" s="164"/>
      <c r="I27" s="165"/>
      <c r="J27" s="166"/>
      <c r="K27" s="465"/>
      <c r="L27" s="465"/>
      <c r="M27" s="465"/>
      <c r="N27" s="465"/>
      <c r="O27" s="465"/>
      <c r="P27" s="470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s="156" customFormat="1" ht="13.5" customHeight="1" thickBot="1" x14ac:dyDescent="0.3">
      <c r="A28" s="146"/>
      <c r="B28" s="486"/>
      <c r="C28" s="466"/>
      <c r="D28" s="466"/>
      <c r="E28" s="466"/>
      <c r="F28" s="167" t="s">
        <v>97</v>
      </c>
      <c r="G28" s="168">
        <f t="shared" ref="G28" si="3">+E24</f>
        <v>9.8000000000000004E-2</v>
      </c>
      <c r="H28" s="169"/>
      <c r="I28" s="170"/>
      <c r="J28" s="171">
        <v>0.186</v>
      </c>
      <c r="K28" s="466"/>
      <c r="L28" s="466"/>
      <c r="M28" s="466"/>
      <c r="N28" s="466"/>
      <c r="O28" s="466"/>
      <c r="P28" s="471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s="156" customFormat="1" ht="13.5" customHeight="1" x14ac:dyDescent="0.25">
      <c r="A29" s="146"/>
      <c r="B29" s="484">
        <v>3</v>
      </c>
      <c r="C29" s="487">
        <f>+C24+$N$12</f>
        <v>4.32</v>
      </c>
      <c r="D29" s="464">
        <v>0.24399999999999999</v>
      </c>
      <c r="E29" s="464">
        <v>0.20799999999999999</v>
      </c>
      <c r="F29" s="157" t="s">
        <v>93</v>
      </c>
      <c r="G29" s="158">
        <v>0</v>
      </c>
      <c r="H29" s="159"/>
      <c r="I29" s="160"/>
      <c r="J29" s="161">
        <v>3.5999999999999997E-2</v>
      </c>
      <c r="K29" s="464">
        <f t="shared" ref="K29" si="4">+IF(E29&lt;=0.12,(J31),(IF(E29&lt;0.16,((J30+2*J31+J32)/4),IF(E29&gt;=0.16,((J29+3*J30+2*J31+3*J32+J33)/10)))))</f>
        <v>0.12919999999999998</v>
      </c>
      <c r="L29" s="464">
        <f t="shared" ref="L29" si="5">ROUND(+(D24+D29)/2*(C29-C24),3)</f>
        <v>9.9000000000000005E-2</v>
      </c>
      <c r="M29" s="464">
        <f t="shared" ref="M29" si="6">ROUND(+K29*L29,4)</f>
        <v>1.2800000000000001E-2</v>
      </c>
      <c r="N29" s="467">
        <f t="shared" ref="N29" si="7">ROUND(+M29/$M$118*100,2)</f>
        <v>1.34</v>
      </c>
      <c r="O29" s="468"/>
      <c r="P29" s="469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s="156" customFormat="1" ht="13.5" customHeight="1" x14ac:dyDescent="0.25">
      <c r="A30" s="146"/>
      <c r="B30" s="485"/>
      <c r="C30" s="465"/>
      <c r="D30" s="465"/>
      <c r="E30" s="465"/>
      <c r="F30" s="162" t="s">
        <v>94</v>
      </c>
      <c r="G30" s="163">
        <f t="shared" ref="G30" si="8">IF(E29&lt;0.125,"NA",IF(0.125&lt;=E29,(0.2*E29)))</f>
        <v>4.1599999999999998E-2</v>
      </c>
      <c r="H30" s="164"/>
      <c r="I30" s="165"/>
      <c r="J30" s="166">
        <v>0.124</v>
      </c>
      <c r="K30" s="465"/>
      <c r="L30" s="465"/>
      <c r="M30" s="465"/>
      <c r="N30" s="465"/>
      <c r="O30" s="465"/>
      <c r="P30" s="470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s="156" customFormat="1" ht="13.5" customHeight="1" x14ac:dyDescent="0.25">
      <c r="A31" s="146"/>
      <c r="B31" s="485"/>
      <c r="C31" s="465"/>
      <c r="D31" s="465"/>
      <c r="E31" s="465"/>
      <c r="F31" s="162" t="s">
        <v>95</v>
      </c>
      <c r="G31" s="163">
        <f t="shared" ref="G31" si="9">+E29*0.4</f>
        <v>8.3199999999999996E-2</v>
      </c>
      <c r="H31" s="164"/>
      <c r="I31" s="165"/>
      <c r="J31" s="166">
        <v>0.107</v>
      </c>
      <c r="K31" s="465"/>
      <c r="L31" s="465"/>
      <c r="M31" s="465"/>
      <c r="N31" s="465"/>
      <c r="O31" s="465"/>
      <c r="P31" s="470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s="156" customFormat="1" ht="13.5" customHeight="1" x14ac:dyDescent="0.25">
      <c r="A32" s="146"/>
      <c r="B32" s="485"/>
      <c r="C32" s="465"/>
      <c r="D32" s="465"/>
      <c r="E32" s="465"/>
      <c r="F32" s="162" t="s">
        <v>96</v>
      </c>
      <c r="G32" s="163">
        <f t="shared" ref="G32" si="10">IF(E29&lt;0.125,"NA",IF(0.125&lt;=E29,(0.8*E29)))</f>
        <v>0.16639999999999999</v>
      </c>
      <c r="H32" s="164"/>
      <c r="I32" s="165"/>
      <c r="J32" s="166">
        <v>0.17199999999999999</v>
      </c>
      <c r="K32" s="465"/>
      <c r="L32" s="465"/>
      <c r="M32" s="465"/>
      <c r="N32" s="465"/>
      <c r="O32" s="465"/>
      <c r="P32" s="470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s="156" customFormat="1" ht="13.5" customHeight="1" thickBot="1" x14ac:dyDescent="0.3">
      <c r="A33" s="146"/>
      <c r="B33" s="486"/>
      <c r="C33" s="466"/>
      <c r="D33" s="466"/>
      <c r="E33" s="466"/>
      <c r="F33" s="167" t="s">
        <v>97</v>
      </c>
      <c r="G33" s="168">
        <f t="shared" ref="G33" si="11">+E29</f>
        <v>0.20799999999999999</v>
      </c>
      <c r="H33" s="169"/>
      <c r="I33" s="170"/>
      <c r="J33" s="171">
        <v>0.154</v>
      </c>
      <c r="K33" s="466"/>
      <c r="L33" s="466"/>
      <c r="M33" s="466"/>
      <c r="N33" s="466"/>
      <c r="O33" s="466"/>
      <c r="P33" s="471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s="156" customFormat="1" ht="13.5" customHeight="1" x14ac:dyDescent="0.25">
      <c r="A34" s="146"/>
      <c r="B34" s="484">
        <v>4</v>
      </c>
      <c r="C34" s="487">
        <f>+C29+$N$12</f>
        <v>4.82</v>
      </c>
      <c r="D34" s="464">
        <v>0.29299999999999998</v>
      </c>
      <c r="E34" s="464">
        <v>0.25600000000000001</v>
      </c>
      <c r="F34" s="157" t="s">
        <v>93</v>
      </c>
      <c r="G34" s="158">
        <v>0</v>
      </c>
      <c r="H34" s="159"/>
      <c r="I34" s="160"/>
      <c r="J34" s="161">
        <v>9.9000000000000005E-2</v>
      </c>
      <c r="K34" s="464">
        <f t="shared" ref="K34" si="12">+IF(E34&lt;=0.12,(J36),(IF(E34&lt;0.16,((J35+2*J36+J37)/4),IF(E34&gt;=0.16,((J34+3*J35+2*J36+3*J37+J38)/10)))))</f>
        <v>0.27829999999999999</v>
      </c>
      <c r="L34" s="464">
        <f t="shared" ref="L34" si="13">ROUND(+(D29+D34)/2*(C34-C29),3)</f>
        <v>0.13400000000000001</v>
      </c>
      <c r="M34" s="464">
        <f t="shared" ref="M34" si="14">ROUND(+K34*L34,4)</f>
        <v>3.73E-2</v>
      </c>
      <c r="N34" s="467">
        <f t="shared" ref="N34" si="15">ROUND(+M34/$M$118*100,2)</f>
        <v>3.92</v>
      </c>
      <c r="O34" s="468"/>
      <c r="P34" s="469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s="156" customFormat="1" ht="13.5" customHeight="1" x14ac:dyDescent="0.25">
      <c r="A35" s="146"/>
      <c r="B35" s="485"/>
      <c r="C35" s="465"/>
      <c r="D35" s="465"/>
      <c r="E35" s="465"/>
      <c r="F35" s="162" t="s">
        <v>94</v>
      </c>
      <c r="G35" s="163">
        <f t="shared" ref="G35" si="16">IF(E34&lt;0.125,"NA",IF(0.125&lt;=E34,(0.2*E34)))</f>
        <v>5.1200000000000002E-2</v>
      </c>
      <c r="H35" s="164"/>
      <c r="I35" s="165"/>
      <c r="J35" s="166">
        <v>0.23400000000000001</v>
      </c>
      <c r="K35" s="465"/>
      <c r="L35" s="465"/>
      <c r="M35" s="465"/>
      <c r="N35" s="465"/>
      <c r="O35" s="465"/>
      <c r="P35" s="470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s="156" customFormat="1" ht="13.5" customHeight="1" x14ac:dyDescent="0.25">
      <c r="A36" s="146"/>
      <c r="B36" s="485"/>
      <c r="C36" s="465"/>
      <c r="D36" s="465"/>
      <c r="E36" s="465"/>
      <c r="F36" s="162" t="s">
        <v>95</v>
      </c>
      <c r="G36" s="163">
        <f t="shared" ref="G36" si="17">+E34*0.4</f>
        <v>0.1024</v>
      </c>
      <c r="H36" s="164"/>
      <c r="I36" s="165"/>
      <c r="J36" s="166">
        <v>0.51600000000000001</v>
      </c>
      <c r="K36" s="465"/>
      <c r="L36" s="465"/>
      <c r="M36" s="465"/>
      <c r="N36" s="465"/>
      <c r="O36" s="465"/>
      <c r="P36" s="470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s="156" customFormat="1" ht="13.5" customHeight="1" x14ac:dyDescent="0.25">
      <c r="A37" s="146"/>
      <c r="B37" s="485"/>
      <c r="C37" s="465"/>
      <c r="D37" s="465"/>
      <c r="E37" s="465"/>
      <c r="F37" s="162" t="s">
        <v>96</v>
      </c>
      <c r="G37" s="163">
        <f t="shared" ref="G37" si="18">IF(E34&lt;0.125,"NA",IF(0.125&lt;=E34,(0.8*E34)))</f>
        <v>0.20480000000000001</v>
      </c>
      <c r="H37" s="164"/>
      <c r="I37" s="165"/>
      <c r="J37" s="166">
        <v>0.26500000000000001</v>
      </c>
      <c r="K37" s="465"/>
      <c r="L37" s="465"/>
      <c r="M37" s="465"/>
      <c r="N37" s="465"/>
      <c r="O37" s="465"/>
      <c r="P37" s="470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s="156" customFormat="1" ht="13.5" customHeight="1" thickBot="1" x14ac:dyDescent="0.3">
      <c r="A38" s="146"/>
      <c r="B38" s="486"/>
      <c r="C38" s="466"/>
      <c r="D38" s="466"/>
      <c r="E38" s="466"/>
      <c r="F38" s="167" t="s">
        <v>97</v>
      </c>
      <c r="G38" s="168">
        <f t="shared" ref="G38" si="19">+E34</f>
        <v>0.25600000000000001</v>
      </c>
      <c r="H38" s="169"/>
      <c r="I38" s="170"/>
      <c r="J38" s="171">
        <v>0.155</v>
      </c>
      <c r="K38" s="466"/>
      <c r="L38" s="466"/>
      <c r="M38" s="466"/>
      <c r="N38" s="466"/>
      <c r="O38" s="466"/>
      <c r="P38" s="471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s="156" customFormat="1" ht="13.5" customHeight="1" x14ac:dyDescent="0.25">
      <c r="A39" s="146"/>
      <c r="B39" s="484">
        <v>5</v>
      </c>
      <c r="C39" s="487">
        <f>+C34+$N$12</f>
        <v>5.32</v>
      </c>
      <c r="D39" s="464">
        <v>0.376</v>
      </c>
      <c r="E39" s="464">
        <v>0.38</v>
      </c>
      <c r="F39" s="157" t="s">
        <v>93</v>
      </c>
      <c r="G39" s="158">
        <v>0</v>
      </c>
      <c r="H39" s="159"/>
      <c r="I39" s="160"/>
      <c r="J39" s="161">
        <v>9.5000000000000001E-2</v>
      </c>
      <c r="K39" s="464">
        <f t="shared" ref="K39" si="20">+IF(E39&lt;=0.12,(J41),(IF(E39&lt;0.16,((J40+2*J41+J42)/4),IF(E39&gt;=0.16,((J39+3*J40+2*J41+3*J42+J43)/10)))))</f>
        <v>0.60060000000000002</v>
      </c>
      <c r="L39" s="464">
        <f t="shared" ref="L39" si="21">ROUND(+(D34+D39)/2*(C39-C34),3)</f>
        <v>0.16700000000000001</v>
      </c>
      <c r="M39" s="464">
        <f t="shared" ref="M39" si="22">ROUND(+K39*L39,4)</f>
        <v>0.1003</v>
      </c>
      <c r="N39" s="467">
        <f t="shared" ref="N39" si="23">ROUND(+M39/$M$118*100,2)</f>
        <v>10.53</v>
      </c>
      <c r="O39" s="468"/>
      <c r="P39" s="469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s="156" customFormat="1" ht="13.5" customHeight="1" x14ac:dyDescent="0.25">
      <c r="A40" s="146"/>
      <c r="B40" s="485"/>
      <c r="C40" s="465"/>
      <c r="D40" s="465"/>
      <c r="E40" s="465"/>
      <c r="F40" s="162" t="s">
        <v>94</v>
      </c>
      <c r="G40" s="163">
        <f t="shared" ref="G40" si="24">IF(E39&lt;0.125,"NA",IF(0.125&lt;=E39,(0.2*E39)))</f>
        <v>7.6000000000000012E-2</v>
      </c>
      <c r="H40" s="164"/>
      <c r="I40" s="165"/>
      <c r="J40" s="166">
        <v>0.125</v>
      </c>
      <c r="K40" s="465"/>
      <c r="L40" s="465"/>
      <c r="M40" s="465"/>
      <c r="N40" s="465"/>
      <c r="O40" s="465"/>
      <c r="P40" s="470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s="156" customFormat="1" ht="13.5" customHeight="1" x14ac:dyDescent="0.25">
      <c r="A41" s="146"/>
      <c r="B41" s="485"/>
      <c r="C41" s="465"/>
      <c r="D41" s="465"/>
      <c r="E41" s="465"/>
      <c r="F41" s="162" t="s">
        <v>95</v>
      </c>
      <c r="G41" s="163">
        <f t="shared" ref="G41" si="25">+E39*0.4</f>
        <v>0.15200000000000002</v>
      </c>
      <c r="H41" s="164"/>
      <c r="I41" s="165"/>
      <c r="J41" s="166">
        <v>0.998</v>
      </c>
      <c r="K41" s="465"/>
      <c r="L41" s="465"/>
      <c r="M41" s="465"/>
      <c r="N41" s="465"/>
      <c r="O41" s="465"/>
      <c r="P41" s="470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s="156" customFormat="1" ht="13.5" customHeight="1" x14ac:dyDescent="0.25">
      <c r="A42" s="146"/>
      <c r="B42" s="485"/>
      <c r="C42" s="465"/>
      <c r="D42" s="465"/>
      <c r="E42" s="465"/>
      <c r="F42" s="162" t="s">
        <v>96</v>
      </c>
      <c r="G42" s="163">
        <f t="shared" ref="G42" si="26">IF(E39&lt;0.125,"NA",IF(0.125&lt;=E39,(0.8*E39)))</f>
        <v>0.30400000000000005</v>
      </c>
      <c r="H42" s="164"/>
      <c r="I42" s="165"/>
      <c r="J42" s="166">
        <v>0.93300000000000005</v>
      </c>
      <c r="K42" s="465"/>
      <c r="L42" s="465"/>
      <c r="M42" s="465"/>
      <c r="N42" s="465"/>
      <c r="O42" s="465"/>
      <c r="P42" s="470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s="156" customFormat="1" ht="13.5" customHeight="1" thickBot="1" x14ac:dyDescent="0.3">
      <c r="A43" s="146"/>
      <c r="B43" s="486"/>
      <c r="C43" s="466"/>
      <c r="D43" s="466"/>
      <c r="E43" s="466"/>
      <c r="F43" s="167" t="s">
        <v>97</v>
      </c>
      <c r="G43" s="168">
        <f t="shared" ref="G43" si="27">+E39</f>
        <v>0.38</v>
      </c>
      <c r="H43" s="169"/>
      <c r="I43" s="170"/>
      <c r="J43" s="171">
        <v>0.74099999999999999</v>
      </c>
      <c r="K43" s="466"/>
      <c r="L43" s="466"/>
      <c r="M43" s="466"/>
      <c r="N43" s="466"/>
      <c r="O43" s="466"/>
      <c r="P43" s="471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s="156" customFormat="1" ht="13.5" customHeight="1" x14ac:dyDescent="0.25">
      <c r="A44" s="146"/>
      <c r="B44" s="484">
        <v>6</v>
      </c>
      <c r="C44" s="487">
        <f>+C39+$N$12</f>
        <v>5.82</v>
      </c>
      <c r="D44" s="464">
        <v>0.191</v>
      </c>
      <c r="E44" s="464">
        <v>0.13400000000000001</v>
      </c>
      <c r="F44" s="157" t="s">
        <v>93</v>
      </c>
      <c r="G44" s="158">
        <v>0</v>
      </c>
      <c r="H44" s="159"/>
      <c r="I44" s="160"/>
      <c r="J44" s="161">
        <v>0.22500000000000001</v>
      </c>
      <c r="K44" s="464">
        <f t="shared" ref="K44" si="28">+IF(E44&lt;=0.12,(J46),(IF(E44&lt;0.16,((J45+2*J46+J47)/4),IF(E44&gt;=0.16,((J44+3*J45+2*J46+3*J47+J48)/10)))))</f>
        <v>0.85275000000000012</v>
      </c>
      <c r="L44" s="464">
        <f t="shared" ref="L44" si="29">ROUND(+(D39+D44)/2*(C44-C39),3)</f>
        <v>0.14199999999999999</v>
      </c>
      <c r="M44" s="464">
        <f t="shared" ref="M44" si="30">ROUND(+K44*L44,4)</f>
        <v>0.1211</v>
      </c>
      <c r="N44" s="467">
        <f t="shared" ref="N44" si="31">ROUND(+M44/$M$118*100,2)</f>
        <v>12.72</v>
      </c>
      <c r="O44" s="468"/>
      <c r="P44" s="469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s="156" customFormat="1" ht="13.5" customHeight="1" x14ac:dyDescent="0.25">
      <c r="A45" s="146"/>
      <c r="B45" s="485"/>
      <c r="C45" s="465"/>
      <c r="D45" s="465"/>
      <c r="E45" s="465"/>
      <c r="F45" s="162" t="s">
        <v>94</v>
      </c>
      <c r="G45" s="163">
        <f t="shared" ref="G45" si="32">IF(E44&lt;0.125,"NA",IF(0.125&lt;=E44,(0.2*E44)))</f>
        <v>2.6800000000000004E-2</v>
      </c>
      <c r="H45" s="164"/>
      <c r="I45" s="165"/>
      <c r="J45" s="166">
        <v>0.67</v>
      </c>
      <c r="K45" s="465"/>
      <c r="L45" s="465"/>
      <c r="M45" s="465"/>
      <c r="N45" s="465"/>
      <c r="O45" s="465"/>
      <c r="P45" s="470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s="156" customFormat="1" ht="13.5" customHeight="1" x14ac:dyDescent="0.25">
      <c r="A46" s="146"/>
      <c r="B46" s="485"/>
      <c r="C46" s="465"/>
      <c r="D46" s="465"/>
      <c r="E46" s="465"/>
      <c r="F46" s="162" t="s">
        <v>95</v>
      </c>
      <c r="G46" s="163">
        <f t="shared" ref="G46" si="33">+E44*0.4</f>
        <v>5.3600000000000009E-2</v>
      </c>
      <c r="H46" s="164"/>
      <c r="I46" s="165"/>
      <c r="J46" s="166">
        <v>0.90800000000000003</v>
      </c>
      <c r="K46" s="465"/>
      <c r="L46" s="465"/>
      <c r="M46" s="465"/>
      <c r="N46" s="465"/>
      <c r="O46" s="465"/>
      <c r="P46" s="470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s="156" customFormat="1" ht="13.5" customHeight="1" x14ac:dyDescent="0.25">
      <c r="A47" s="146"/>
      <c r="B47" s="485"/>
      <c r="C47" s="465"/>
      <c r="D47" s="465"/>
      <c r="E47" s="465"/>
      <c r="F47" s="162" t="s">
        <v>96</v>
      </c>
      <c r="G47" s="163">
        <f t="shared" ref="G47" si="34">IF(E44&lt;0.125,"NA",IF(0.125&lt;=E44,(0.8*E44)))</f>
        <v>0.10720000000000002</v>
      </c>
      <c r="H47" s="164"/>
      <c r="I47" s="165"/>
      <c r="J47" s="166">
        <v>0.92500000000000004</v>
      </c>
      <c r="K47" s="465"/>
      <c r="L47" s="465"/>
      <c r="M47" s="465"/>
      <c r="N47" s="465"/>
      <c r="O47" s="465"/>
      <c r="P47" s="470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s="156" customFormat="1" ht="13.5" customHeight="1" thickBot="1" x14ac:dyDescent="0.3">
      <c r="A48" s="146"/>
      <c r="B48" s="486"/>
      <c r="C48" s="466"/>
      <c r="D48" s="466"/>
      <c r="E48" s="466"/>
      <c r="F48" s="167" t="s">
        <v>97</v>
      </c>
      <c r="G48" s="168">
        <f t="shared" ref="G48" si="35">+E44</f>
        <v>0.13400000000000001</v>
      </c>
      <c r="H48" s="169"/>
      <c r="I48" s="170"/>
      <c r="J48" s="171">
        <v>0.86699999999999999</v>
      </c>
      <c r="K48" s="466"/>
      <c r="L48" s="466"/>
      <c r="M48" s="466"/>
      <c r="N48" s="466"/>
      <c r="O48" s="466"/>
      <c r="P48" s="471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s="156" customFormat="1" ht="13.5" customHeight="1" x14ac:dyDescent="0.25">
      <c r="A49" s="146"/>
      <c r="B49" s="484">
        <v>7</v>
      </c>
      <c r="C49" s="487">
        <f t="shared" ref="C49" si="36">+C44+$N$12</f>
        <v>6.32</v>
      </c>
      <c r="D49" s="464">
        <v>0.36499999999999999</v>
      </c>
      <c r="E49" s="464">
        <v>0.32800000000000001</v>
      </c>
      <c r="F49" s="157" t="s">
        <v>93</v>
      </c>
      <c r="G49" s="158">
        <v>0</v>
      </c>
      <c r="H49" s="159"/>
      <c r="I49" s="160"/>
      <c r="J49" s="161">
        <v>0.312</v>
      </c>
      <c r="K49" s="464">
        <f t="shared" ref="K49" si="37">+IF(E49&lt;=0.12,(J51),(IF(E49&lt;0.16,((J50+2*J51+J52)/4),IF(E49&gt;=0.16,((J49+3*J50+2*J51+3*J52+J53)/10)))))</f>
        <v>0.47870000000000007</v>
      </c>
      <c r="L49" s="464">
        <f>ROUND(+(D44+D49)/2*(C49-C44),3)</f>
        <v>0.13900000000000001</v>
      </c>
      <c r="M49" s="464">
        <f t="shared" ref="M49" si="38">ROUND(+K49*L49,4)</f>
        <v>6.6500000000000004E-2</v>
      </c>
      <c r="N49" s="467">
        <f>ROUND(+M49/$M$118*100,2)</f>
        <v>6.98</v>
      </c>
      <c r="O49" s="468"/>
      <c r="P49" s="469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s="156" customFormat="1" ht="13.5" customHeight="1" x14ac:dyDescent="0.25">
      <c r="A50" s="146"/>
      <c r="B50" s="485"/>
      <c r="C50" s="465"/>
      <c r="D50" s="465"/>
      <c r="E50" s="465"/>
      <c r="F50" s="162" t="s">
        <v>94</v>
      </c>
      <c r="G50" s="163">
        <f t="shared" ref="G50" si="39">IF(E49&lt;0.125,"NA",IF(0.125&lt;=E49,(0.2*E49)))</f>
        <v>6.5600000000000006E-2</v>
      </c>
      <c r="H50" s="164"/>
      <c r="I50" s="165"/>
      <c r="J50" s="166">
        <v>0.51</v>
      </c>
      <c r="K50" s="465"/>
      <c r="L50" s="465"/>
      <c r="M50" s="465"/>
      <c r="N50" s="465"/>
      <c r="O50" s="465"/>
      <c r="P50" s="470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s="156" customFormat="1" ht="13.5" customHeight="1" x14ac:dyDescent="0.25">
      <c r="A51" s="146"/>
      <c r="B51" s="485"/>
      <c r="C51" s="465"/>
      <c r="D51" s="465"/>
      <c r="E51" s="465"/>
      <c r="F51" s="162" t="s">
        <v>95</v>
      </c>
      <c r="G51" s="163">
        <f t="shared" ref="G51" si="40">+E49*0.4</f>
        <v>0.13120000000000001</v>
      </c>
      <c r="H51" s="164"/>
      <c r="I51" s="165"/>
      <c r="J51" s="166">
        <v>0.44900000000000001</v>
      </c>
      <c r="K51" s="465"/>
      <c r="L51" s="465"/>
      <c r="M51" s="465"/>
      <c r="N51" s="465"/>
      <c r="O51" s="465"/>
      <c r="P51" s="470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s="156" customFormat="1" ht="13.5" customHeight="1" x14ac:dyDescent="0.25">
      <c r="A52" s="146"/>
      <c r="B52" s="485"/>
      <c r="C52" s="465"/>
      <c r="D52" s="465"/>
      <c r="E52" s="465"/>
      <c r="F52" s="162" t="s">
        <v>96</v>
      </c>
      <c r="G52" s="163">
        <f t="shared" ref="G52" si="41">IF(E49&lt;0.125,"NA",IF(0.125&lt;=E49,(0.8*E49)))</f>
        <v>0.26240000000000002</v>
      </c>
      <c r="H52" s="164"/>
      <c r="I52" s="165"/>
      <c r="J52" s="166">
        <v>0.53400000000000003</v>
      </c>
      <c r="K52" s="465"/>
      <c r="L52" s="465"/>
      <c r="M52" s="465"/>
      <c r="N52" s="465"/>
      <c r="O52" s="465"/>
      <c r="P52" s="470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s="156" customFormat="1" ht="13.5" customHeight="1" thickBot="1" x14ac:dyDescent="0.3">
      <c r="A53" s="146"/>
      <c r="B53" s="486"/>
      <c r="C53" s="466"/>
      <c r="D53" s="466"/>
      <c r="E53" s="466"/>
      <c r="F53" s="167" t="s">
        <v>97</v>
      </c>
      <c r="G53" s="168">
        <f t="shared" ref="G53" si="42">+E49</f>
        <v>0.32800000000000001</v>
      </c>
      <c r="H53" s="169"/>
      <c r="I53" s="170"/>
      <c r="J53" s="171">
        <v>0.44500000000000001</v>
      </c>
      <c r="K53" s="466"/>
      <c r="L53" s="466"/>
      <c r="M53" s="466"/>
      <c r="N53" s="466"/>
      <c r="O53" s="466"/>
      <c r="P53" s="471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s="156" customFormat="1" ht="13.5" customHeight="1" x14ac:dyDescent="0.25">
      <c r="A54" s="146"/>
      <c r="B54" s="484">
        <v>8</v>
      </c>
      <c r="C54" s="487">
        <f t="shared" ref="C54" si="43">+C49+$N$12</f>
        <v>6.82</v>
      </c>
      <c r="D54" s="464">
        <v>0.32</v>
      </c>
      <c r="E54" s="464">
        <v>0.35699999999999998</v>
      </c>
      <c r="F54" s="157" t="s">
        <v>93</v>
      </c>
      <c r="G54" s="158">
        <v>0</v>
      </c>
      <c r="H54" s="159"/>
      <c r="I54" s="160"/>
      <c r="J54" s="161">
        <v>0.17799999999999999</v>
      </c>
      <c r="K54" s="464">
        <f t="shared" ref="K54" si="44">+IF(E54&lt;=0.12,(J56),(IF(E54&lt;0.16,((J55+2*J56+J57)/4),IF(E54&gt;=0.16,((J54+3*J55+2*J56+3*J57+J58)/10)))))</f>
        <v>0.46580000000000005</v>
      </c>
      <c r="L54" s="464">
        <f t="shared" ref="L54" si="45">ROUND(+(D49+D54)/2*(C54-C49),3)</f>
        <v>0.17100000000000001</v>
      </c>
      <c r="M54" s="464">
        <f t="shared" ref="M54" si="46">ROUND(+K54*L54,4)</f>
        <v>7.9699999999999993E-2</v>
      </c>
      <c r="N54" s="467">
        <f t="shared" ref="N54" si="47">ROUND(+M54/$M$118*100,2)</f>
        <v>8.3699999999999992</v>
      </c>
      <c r="O54" s="468"/>
      <c r="P54" s="469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s="156" customFormat="1" ht="13.5" customHeight="1" x14ac:dyDescent="0.25">
      <c r="A55" s="146"/>
      <c r="B55" s="485"/>
      <c r="C55" s="465"/>
      <c r="D55" s="465"/>
      <c r="E55" s="465"/>
      <c r="F55" s="162" t="s">
        <v>94</v>
      </c>
      <c r="G55" s="163">
        <f t="shared" ref="G55" si="48">IF(E54&lt;0.125,"NA",IF(0.125&lt;=E54,(0.2*E54)))</f>
        <v>7.1400000000000005E-2</v>
      </c>
      <c r="H55" s="164"/>
      <c r="I55" s="165"/>
      <c r="J55" s="166">
        <v>0.47299999999999998</v>
      </c>
      <c r="K55" s="465"/>
      <c r="L55" s="465"/>
      <c r="M55" s="465"/>
      <c r="N55" s="465"/>
      <c r="O55" s="465"/>
      <c r="P55" s="470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s="156" customFormat="1" ht="13.5" customHeight="1" x14ac:dyDescent="0.25">
      <c r="A56" s="146"/>
      <c r="B56" s="485"/>
      <c r="C56" s="465"/>
      <c r="D56" s="465"/>
      <c r="E56" s="465"/>
      <c r="F56" s="162" t="s">
        <v>95</v>
      </c>
      <c r="G56" s="163">
        <f t="shared" ref="G56" si="49">+E54*0.4</f>
        <v>0.14280000000000001</v>
      </c>
      <c r="H56" s="164"/>
      <c r="I56" s="165"/>
      <c r="J56" s="166">
        <v>0.53700000000000003</v>
      </c>
      <c r="K56" s="465"/>
      <c r="L56" s="465"/>
      <c r="M56" s="465"/>
      <c r="N56" s="465"/>
      <c r="O56" s="465"/>
      <c r="P56" s="470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s="156" customFormat="1" ht="13.5" customHeight="1" x14ac:dyDescent="0.25">
      <c r="A57" s="146"/>
      <c r="B57" s="485"/>
      <c r="C57" s="465"/>
      <c r="D57" s="465"/>
      <c r="E57" s="465"/>
      <c r="F57" s="162" t="s">
        <v>96</v>
      </c>
      <c r="G57" s="163">
        <f t="shared" ref="G57" si="50">IF(E54&lt;0.125,"NA",IF(0.125&lt;=E54,(0.8*E54)))</f>
        <v>0.28560000000000002</v>
      </c>
      <c r="H57" s="164"/>
      <c r="I57" s="165"/>
      <c r="J57" s="166">
        <v>0.501</v>
      </c>
      <c r="K57" s="465"/>
      <c r="L57" s="465"/>
      <c r="M57" s="465"/>
      <c r="N57" s="465"/>
      <c r="O57" s="465"/>
      <c r="P57" s="470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s="156" customFormat="1" ht="13.5" customHeight="1" thickBot="1" x14ac:dyDescent="0.3">
      <c r="A58" s="146"/>
      <c r="B58" s="486"/>
      <c r="C58" s="466"/>
      <c r="D58" s="466"/>
      <c r="E58" s="466"/>
      <c r="F58" s="167" t="s">
        <v>97</v>
      </c>
      <c r="G58" s="168">
        <f t="shared" ref="G58" si="51">+E54</f>
        <v>0.35699999999999998</v>
      </c>
      <c r="H58" s="169"/>
      <c r="I58" s="170"/>
      <c r="J58" s="171">
        <v>0.48399999999999999</v>
      </c>
      <c r="K58" s="466"/>
      <c r="L58" s="466"/>
      <c r="M58" s="466"/>
      <c r="N58" s="466"/>
      <c r="O58" s="466"/>
      <c r="P58" s="471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s="156" customFormat="1" ht="13.5" customHeight="1" x14ac:dyDescent="0.25">
      <c r="A59" s="146"/>
      <c r="B59" s="484">
        <v>9</v>
      </c>
      <c r="C59" s="487">
        <f t="shared" ref="C59" si="52">+C54+$N$12</f>
        <v>7.32</v>
      </c>
      <c r="D59" s="464">
        <v>0.434</v>
      </c>
      <c r="E59" s="464">
        <v>0.38400000000000001</v>
      </c>
      <c r="F59" s="157" t="s">
        <v>93</v>
      </c>
      <c r="G59" s="158">
        <v>0</v>
      </c>
      <c r="H59" s="159"/>
      <c r="I59" s="160"/>
      <c r="J59" s="161"/>
      <c r="K59" s="464"/>
      <c r="L59" s="464"/>
      <c r="M59" s="464"/>
      <c r="N59" s="467"/>
      <c r="O59" s="468"/>
      <c r="P59" s="469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s="156" customFormat="1" ht="13.5" customHeight="1" x14ac:dyDescent="0.25">
      <c r="A60" s="146"/>
      <c r="B60" s="485"/>
      <c r="C60" s="465"/>
      <c r="D60" s="465"/>
      <c r="E60" s="465"/>
      <c r="F60" s="162" t="s">
        <v>94</v>
      </c>
      <c r="G60" s="163">
        <f t="shared" ref="G60" si="53">IF(E59&lt;0.125,"NA",IF(0.125&lt;=E59,(0.2*E59)))</f>
        <v>7.6800000000000007E-2</v>
      </c>
      <c r="H60" s="164"/>
      <c r="I60" s="165"/>
      <c r="J60" s="166"/>
      <c r="K60" s="465"/>
      <c r="L60" s="465"/>
      <c r="M60" s="465"/>
      <c r="N60" s="465"/>
      <c r="O60" s="465"/>
      <c r="P60" s="470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s="156" customFormat="1" ht="13.5" customHeight="1" x14ac:dyDescent="0.25">
      <c r="A61" s="146"/>
      <c r="B61" s="485"/>
      <c r="C61" s="465"/>
      <c r="D61" s="465"/>
      <c r="E61" s="465"/>
      <c r="F61" s="162" t="s">
        <v>95</v>
      </c>
      <c r="G61" s="163">
        <f t="shared" ref="G61" si="54">+E59*0.4</f>
        <v>0.15360000000000001</v>
      </c>
      <c r="H61" s="164"/>
      <c r="I61" s="165"/>
      <c r="J61" s="166"/>
      <c r="K61" s="465"/>
      <c r="L61" s="465"/>
      <c r="M61" s="465"/>
      <c r="N61" s="465"/>
      <c r="O61" s="465"/>
      <c r="P61" s="470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s="156" customFormat="1" ht="13.5" customHeight="1" x14ac:dyDescent="0.25">
      <c r="A62" s="146"/>
      <c r="B62" s="485"/>
      <c r="C62" s="465"/>
      <c r="D62" s="465"/>
      <c r="E62" s="465"/>
      <c r="F62" s="162" t="s">
        <v>96</v>
      </c>
      <c r="G62" s="163">
        <f t="shared" ref="G62" si="55">IF(E59&lt;0.125,"NA",IF(0.125&lt;=E59,(0.8*E59)))</f>
        <v>0.30720000000000003</v>
      </c>
      <c r="H62" s="164"/>
      <c r="I62" s="165"/>
      <c r="J62" s="166"/>
      <c r="K62" s="465"/>
      <c r="L62" s="465"/>
      <c r="M62" s="465"/>
      <c r="N62" s="465"/>
      <c r="O62" s="465"/>
      <c r="P62" s="470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s="156" customFormat="1" ht="13.5" customHeight="1" thickBot="1" x14ac:dyDescent="0.3">
      <c r="A63" s="146"/>
      <c r="B63" s="486"/>
      <c r="C63" s="466"/>
      <c r="D63" s="466"/>
      <c r="E63" s="466"/>
      <c r="F63" s="167" t="s">
        <v>97</v>
      </c>
      <c r="G63" s="168">
        <f t="shared" ref="G63" si="56">+E59</f>
        <v>0.38400000000000001</v>
      </c>
      <c r="H63" s="169"/>
      <c r="I63" s="170"/>
      <c r="J63" s="171"/>
      <c r="K63" s="466"/>
      <c r="L63" s="466"/>
      <c r="M63" s="466"/>
      <c r="N63" s="466"/>
      <c r="O63" s="466"/>
      <c r="P63" s="471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s="156" customFormat="1" ht="13.5" customHeight="1" x14ac:dyDescent="0.25">
      <c r="A64" s="146"/>
      <c r="B64" s="484">
        <v>10</v>
      </c>
      <c r="C64" s="487">
        <f t="shared" ref="C64" si="57">+C59+$N$12</f>
        <v>7.82</v>
      </c>
      <c r="D64" s="464">
        <v>0.35599999999999998</v>
      </c>
      <c r="E64" s="464">
        <v>0.377</v>
      </c>
      <c r="F64" s="157" t="s">
        <v>93</v>
      </c>
      <c r="G64" s="158">
        <v>0</v>
      </c>
      <c r="H64" s="159"/>
      <c r="I64" s="160"/>
      <c r="J64" s="161">
        <v>7.1999999999999995E-2</v>
      </c>
      <c r="K64" s="464">
        <f t="shared" ref="K64" si="58">+IF(E64&lt;=0.12,(J66),(IF(E64&lt;0.16,((J65+2*J66+J67)/4),IF(E64&gt;=0.16,((J64+3*J65+2*J66+3*J67+J68)/10)))))</f>
        <v>0.4556</v>
      </c>
      <c r="L64" s="464">
        <f t="shared" ref="L64" si="59">ROUND(+(D59+D64)/2*(C64-C59),3)</f>
        <v>0.19800000000000001</v>
      </c>
      <c r="M64" s="464">
        <f t="shared" ref="M64" si="60">ROUND(+K64*L64,4)</f>
        <v>9.0200000000000002E-2</v>
      </c>
      <c r="N64" s="467">
        <f t="shared" ref="N64" si="61">ROUND(+M64/$M$118*100,2)</f>
        <v>9.4700000000000006</v>
      </c>
      <c r="O64" s="468"/>
      <c r="P64" s="469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s="156" customFormat="1" ht="13.5" customHeight="1" x14ac:dyDescent="0.25">
      <c r="A65" s="146"/>
      <c r="B65" s="485"/>
      <c r="C65" s="465"/>
      <c r="D65" s="465"/>
      <c r="E65" s="465"/>
      <c r="F65" s="162" t="s">
        <v>94</v>
      </c>
      <c r="G65" s="163">
        <f t="shared" ref="G65" si="62">IF(E64&lt;0.125,"NA",IF(0.125&lt;=E64,(0.2*E64)))</f>
        <v>7.5400000000000009E-2</v>
      </c>
      <c r="H65" s="164"/>
      <c r="I65" s="165"/>
      <c r="J65" s="166">
        <v>0.443</v>
      </c>
      <c r="K65" s="465"/>
      <c r="L65" s="465"/>
      <c r="M65" s="465"/>
      <c r="N65" s="465"/>
      <c r="O65" s="465"/>
      <c r="P65" s="470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s="156" customFormat="1" ht="13.5" customHeight="1" x14ac:dyDescent="0.25">
      <c r="A66" s="146"/>
      <c r="B66" s="485"/>
      <c r="C66" s="465"/>
      <c r="D66" s="465"/>
      <c r="E66" s="465"/>
      <c r="F66" s="162" t="s">
        <v>95</v>
      </c>
      <c r="G66" s="163">
        <f t="shared" ref="G66" si="63">+E64*0.4</f>
        <v>0.15080000000000002</v>
      </c>
      <c r="H66" s="164"/>
      <c r="I66" s="165"/>
      <c r="J66" s="166">
        <v>0.55600000000000005</v>
      </c>
      <c r="K66" s="465"/>
      <c r="L66" s="465"/>
      <c r="M66" s="465"/>
      <c r="N66" s="465"/>
      <c r="O66" s="465"/>
      <c r="P66" s="470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s="156" customFormat="1" ht="13.5" customHeight="1" x14ac:dyDescent="0.25">
      <c r="A67" s="146"/>
      <c r="B67" s="485"/>
      <c r="C67" s="465"/>
      <c r="D67" s="465"/>
      <c r="E67" s="465"/>
      <c r="F67" s="162" t="s">
        <v>96</v>
      </c>
      <c r="G67" s="163">
        <f t="shared" ref="G67" si="64">IF(E64&lt;0.125,"NA",IF(0.125&lt;=E64,(0.8*E64)))</f>
        <v>0.30160000000000003</v>
      </c>
      <c r="H67" s="164"/>
      <c r="I67" s="165"/>
      <c r="J67" s="166">
        <v>0.56200000000000006</v>
      </c>
      <c r="K67" s="465"/>
      <c r="L67" s="465"/>
      <c r="M67" s="465"/>
      <c r="N67" s="465"/>
      <c r="O67" s="465"/>
      <c r="P67" s="470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s="156" customFormat="1" ht="13.5" customHeight="1" thickBot="1" x14ac:dyDescent="0.3">
      <c r="A68" s="146"/>
      <c r="B68" s="486"/>
      <c r="C68" s="466"/>
      <c r="D68" s="466"/>
      <c r="E68" s="466"/>
      <c r="F68" s="167" t="s">
        <v>97</v>
      </c>
      <c r="G68" s="168">
        <f t="shared" ref="G68" si="65">+E64</f>
        <v>0.377</v>
      </c>
      <c r="H68" s="169"/>
      <c r="I68" s="170"/>
      <c r="J68" s="171">
        <v>0.35699999999999998</v>
      </c>
      <c r="K68" s="466"/>
      <c r="L68" s="466"/>
      <c r="M68" s="466"/>
      <c r="N68" s="466"/>
      <c r="O68" s="466"/>
      <c r="P68" s="471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s="156" customFormat="1" ht="13.5" customHeight="1" x14ac:dyDescent="0.25">
      <c r="A69" s="146"/>
      <c r="B69" s="484">
        <v>11</v>
      </c>
      <c r="C69" s="487">
        <f t="shared" ref="C69" si="66">+C64+$N$12</f>
        <v>8.32</v>
      </c>
      <c r="D69" s="464">
        <v>0.28999999999999998</v>
      </c>
      <c r="E69" s="464">
        <v>0.13</v>
      </c>
      <c r="F69" s="157" t="s">
        <v>93</v>
      </c>
      <c r="G69" s="158">
        <v>0</v>
      </c>
      <c r="H69" s="159"/>
      <c r="I69" s="160"/>
      <c r="J69" s="161">
        <v>0.41099999999999998</v>
      </c>
      <c r="K69" s="464">
        <f t="shared" ref="K69" si="67">+IF(E69&lt;=0.12,(J71),(IF(E69&lt;0.16,((J70+2*J71+J72)/4),IF(E69&gt;=0.16,((J69+3*J70+2*J71+3*J72+J73)/10)))))</f>
        <v>0.53300000000000003</v>
      </c>
      <c r="L69" s="464">
        <f t="shared" ref="L69" si="68">ROUND(+(D64+D69)/2*(C69-C64),3)</f>
        <v>0.16200000000000001</v>
      </c>
      <c r="M69" s="464">
        <f t="shared" ref="M69" si="69">ROUND(+K69*L69,4)</f>
        <v>8.6300000000000002E-2</v>
      </c>
      <c r="N69" s="467">
        <f t="shared" ref="N69" si="70">ROUND(+M69/$M$118*100,2)</f>
        <v>9.06</v>
      </c>
      <c r="O69" s="468"/>
      <c r="P69" s="469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s="156" customFormat="1" ht="13.5" customHeight="1" x14ac:dyDescent="0.25">
      <c r="A70" s="146"/>
      <c r="B70" s="485"/>
      <c r="C70" s="465"/>
      <c r="D70" s="465"/>
      <c r="E70" s="465"/>
      <c r="F70" s="162" t="s">
        <v>94</v>
      </c>
      <c r="G70" s="163">
        <f t="shared" ref="G70" si="71">IF(E69&lt;0.125,"NA",IF(0.125&lt;=E69,(0.2*E69)))</f>
        <v>2.6000000000000002E-2</v>
      </c>
      <c r="H70" s="164"/>
      <c r="I70" s="165"/>
      <c r="J70" s="166">
        <v>0.48499999999999999</v>
      </c>
      <c r="K70" s="465"/>
      <c r="L70" s="465"/>
      <c r="M70" s="465"/>
      <c r="N70" s="465"/>
      <c r="O70" s="465"/>
      <c r="P70" s="470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s="156" customFormat="1" ht="13.5" customHeight="1" x14ac:dyDescent="0.25">
      <c r="A71" s="146"/>
      <c r="B71" s="485"/>
      <c r="C71" s="465"/>
      <c r="D71" s="465"/>
      <c r="E71" s="465"/>
      <c r="F71" s="162" t="s">
        <v>95</v>
      </c>
      <c r="G71" s="163">
        <f t="shared" ref="G71" si="72">+E69*0.4</f>
        <v>5.2000000000000005E-2</v>
      </c>
      <c r="H71" s="164"/>
      <c r="I71" s="165"/>
      <c r="J71" s="166">
        <v>0.53500000000000003</v>
      </c>
      <c r="K71" s="465"/>
      <c r="L71" s="465"/>
      <c r="M71" s="465"/>
      <c r="N71" s="465"/>
      <c r="O71" s="465"/>
      <c r="P71" s="470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s="156" customFormat="1" ht="13.5" customHeight="1" x14ac:dyDescent="0.25">
      <c r="A72" s="146"/>
      <c r="B72" s="485"/>
      <c r="C72" s="465"/>
      <c r="D72" s="465"/>
      <c r="E72" s="465"/>
      <c r="F72" s="162" t="s">
        <v>96</v>
      </c>
      <c r="G72" s="163">
        <f t="shared" ref="G72" si="73">IF(E69&lt;0.125,"NA",IF(0.125&lt;=E69,(0.8*E69)))</f>
        <v>0.10400000000000001</v>
      </c>
      <c r="H72" s="164"/>
      <c r="I72" s="165"/>
      <c r="J72" s="166">
        <v>0.57699999999999996</v>
      </c>
      <c r="K72" s="465"/>
      <c r="L72" s="465"/>
      <c r="M72" s="465"/>
      <c r="N72" s="465"/>
      <c r="O72" s="465"/>
      <c r="P72" s="470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s="156" customFormat="1" ht="13.5" customHeight="1" thickBot="1" x14ac:dyDescent="0.3">
      <c r="A73" s="146"/>
      <c r="B73" s="486"/>
      <c r="C73" s="466"/>
      <c r="D73" s="466"/>
      <c r="E73" s="466"/>
      <c r="F73" s="167" t="s">
        <v>97</v>
      </c>
      <c r="G73" s="168">
        <f t="shared" ref="G73" si="74">+E69</f>
        <v>0.13</v>
      </c>
      <c r="H73" s="169"/>
      <c r="I73" s="170"/>
      <c r="J73" s="171">
        <v>0.35399999999999998</v>
      </c>
      <c r="K73" s="466"/>
      <c r="L73" s="466"/>
      <c r="M73" s="466"/>
      <c r="N73" s="466"/>
      <c r="O73" s="466"/>
      <c r="P73" s="471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s="156" customFormat="1" ht="13.5" customHeight="1" x14ac:dyDescent="0.25">
      <c r="A74" s="146"/>
      <c r="B74" s="484">
        <v>12</v>
      </c>
      <c r="C74" s="487">
        <f t="shared" ref="C74" si="75">+C69+$N$12</f>
        <v>8.82</v>
      </c>
      <c r="D74" s="464">
        <v>0.40699999999999997</v>
      </c>
      <c r="E74" s="464">
        <v>0.35899999999999999</v>
      </c>
      <c r="F74" s="157" t="s">
        <v>93</v>
      </c>
      <c r="G74" s="158">
        <v>0</v>
      </c>
      <c r="H74" s="159"/>
      <c r="I74" s="160"/>
      <c r="J74" s="161">
        <v>0.129</v>
      </c>
      <c r="K74" s="464">
        <f t="shared" ref="K74" si="76">+IF(E74&lt;=0.12,(J76),(IF(E74&lt;0.16,((J75+2*J76+J77)/4),IF(E74&gt;=0.16,((J74+3*J75+2*J76+3*J77+J78)/10)))))</f>
        <v>0.56410000000000005</v>
      </c>
      <c r="L74" s="464">
        <f t="shared" ref="L74" si="77">ROUND(+(D69+D74)/2*(C74-C69),3)</f>
        <v>0.17399999999999999</v>
      </c>
      <c r="M74" s="464">
        <f t="shared" ref="M74" si="78">ROUND(+K74*L74,4)</f>
        <v>9.8199999999999996E-2</v>
      </c>
      <c r="N74" s="467">
        <f t="shared" ref="N74" si="79">ROUND(+M74/$M$118*100,2)</f>
        <v>10.31</v>
      </c>
      <c r="O74" s="468"/>
      <c r="P74" s="469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spans="1:26" s="156" customFormat="1" ht="13.5" customHeight="1" x14ac:dyDescent="0.25">
      <c r="A75" s="146"/>
      <c r="B75" s="485"/>
      <c r="C75" s="465"/>
      <c r="D75" s="465"/>
      <c r="E75" s="465"/>
      <c r="F75" s="162" t="s">
        <v>94</v>
      </c>
      <c r="G75" s="163">
        <f t="shared" ref="G75" si="80">IF(E74&lt;0.125,"NA",IF(0.125&lt;=E74,(0.2*E74)))</f>
        <v>7.1800000000000003E-2</v>
      </c>
      <c r="H75" s="164"/>
      <c r="I75" s="165"/>
      <c r="J75" s="166">
        <v>0.6</v>
      </c>
      <c r="K75" s="465"/>
      <c r="L75" s="465"/>
      <c r="M75" s="465"/>
      <c r="N75" s="465"/>
      <c r="O75" s="465"/>
      <c r="P75" s="470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spans="1:26" s="156" customFormat="1" ht="13.5" customHeight="1" x14ac:dyDescent="0.25">
      <c r="A76" s="146"/>
      <c r="B76" s="485"/>
      <c r="C76" s="465"/>
      <c r="D76" s="465"/>
      <c r="E76" s="465"/>
      <c r="F76" s="162" t="s">
        <v>95</v>
      </c>
      <c r="G76" s="163">
        <f t="shared" ref="G76" si="81">+E74*0.4</f>
        <v>0.14360000000000001</v>
      </c>
      <c r="H76" s="164"/>
      <c r="I76" s="165"/>
      <c r="J76" s="166">
        <v>0.60499999999999998</v>
      </c>
      <c r="K76" s="465"/>
      <c r="L76" s="465"/>
      <c r="M76" s="465"/>
      <c r="N76" s="465"/>
      <c r="O76" s="465"/>
      <c r="P76" s="470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6" s="156" customFormat="1" ht="13.5" customHeight="1" x14ac:dyDescent="0.25">
      <c r="A77" s="146"/>
      <c r="B77" s="485"/>
      <c r="C77" s="465"/>
      <c r="D77" s="465"/>
      <c r="E77" s="465"/>
      <c r="F77" s="162" t="s">
        <v>96</v>
      </c>
      <c r="G77" s="163">
        <f t="shared" ref="G77" si="82">IF(E74&lt;0.125,"NA",IF(0.125&lt;=E74,(0.8*E74)))</f>
        <v>0.28720000000000001</v>
      </c>
      <c r="H77" s="164"/>
      <c r="I77" s="165"/>
      <c r="J77" s="166">
        <v>0.63900000000000001</v>
      </c>
      <c r="K77" s="465"/>
      <c r="L77" s="465"/>
      <c r="M77" s="465"/>
      <c r="N77" s="465"/>
      <c r="O77" s="465"/>
      <c r="P77" s="470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spans="1:26" s="156" customFormat="1" ht="13.5" customHeight="1" thickBot="1" x14ac:dyDescent="0.3">
      <c r="A78" s="146"/>
      <c r="B78" s="486"/>
      <c r="C78" s="466"/>
      <c r="D78" s="466"/>
      <c r="E78" s="466"/>
      <c r="F78" s="167" t="s">
        <v>97</v>
      </c>
      <c r="G78" s="168">
        <f t="shared" ref="G78" si="83">+E74</f>
        <v>0.35899999999999999</v>
      </c>
      <c r="H78" s="169"/>
      <c r="I78" s="170"/>
      <c r="J78" s="171">
        <v>0.58499999999999996</v>
      </c>
      <c r="K78" s="466"/>
      <c r="L78" s="466"/>
      <c r="M78" s="466"/>
      <c r="N78" s="466"/>
      <c r="O78" s="466"/>
      <c r="P78" s="471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6" s="156" customFormat="1" ht="13.5" customHeight="1" x14ac:dyDescent="0.25">
      <c r="A79" s="146"/>
      <c r="B79" s="484">
        <v>13</v>
      </c>
      <c r="C79" s="487">
        <f t="shared" ref="C79" si="84">+C74+$N$12</f>
        <v>9.32</v>
      </c>
      <c r="D79" s="464">
        <v>0.377</v>
      </c>
      <c r="E79" s="464">
        <v>0.35899999999999999</v>
      </c>
      <c r="F79" s="157" t="s">
        <v>93</v>
      </c>
      <c r="G79" s="158">
        <v>0</v>
      </c>
      <c r="H79" s="159"/>
      <c r="I79" s="160"/>
      <c r="J79" s="161">
        <v>0.29799999999999999</v>
      </c>
      <c r="K79" s="464">
        <f t="shared" ref="K79" si="85">+IF(E79&lt;=0.12,(J81),(IF(E79&lt;0.16,((J80+2*J81+J82)/4),IF(E79&gt;=0.16,((J79+3*J80+2*J81+3*J82+J83)/10)))))</f>
        <v>0.52669999999999995</v>
      </c>
      <c r="L79" s="464">
        <f>ROUND(+(D74+D79)/2*(C79-C74),3)</f>
        <v>0.19600000000000001</v>
      </c>
      <c r="M79" s="464">
        <f t="shared" ref="M79" si="86">ROUND(+K79*L79,4)</f>
        <v>0.1032</v>
      </c>
      <c r="N79" s="467">
        <f t="shared" ref="N79" si="87">ROUND(+M79/$M$118*100,2)</f>
        <v>10.84</v>
      </c>
      <c r="O79" s="468"/>
      <c r="P79" s="469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6" s="156" customFormat="1" ht="13.5" customHeight="1" x14ac:dyDescent="0.25">
      <c r="A80" s="146"/>
      <c r="B80" s="485"/>
      <c r="C80" s="465"/>
      <c r="D80" s="465"/>
      <c r="E80" s="465"/>
      <c r="F80" s="162" t="s">
        <v>94</v>
      </c>
      <c r="G80" s="163">
        <f t="shared" ref="G80" si="88">IF(E79&lt;0.125,"NA",IF(0.125&lt;=E79,(0.2*E79)))</f>
        <v>7.1800000000000003E-2</v>
      </c>
      <c r="H80" s="164"/>
      <c r="I80" s="165"/>
      <c r="J80" s="166">
        <v>0.47899999999999998</v>
      </c>
      <c r="K80" s="465"/>
      <c r="L80" s="465"/>
      <c r="M80" s="465"/>
      <c r="N80" s="465"/>
      <c r="O80" s="465"/>
      <c r="P80" s="470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spans="1:26" s="156" customFormat="1" ht="13.5" customHeight="1" x14ac:dyDescent="0.25">
      <c r="A81" s="146"/>
      <c r="B81" s="485"/>
      <c r="C81" s="465"/>
      <c r="D81" s="465"/>
      <c r="E81" s="465"/>
      <c r="F81" s="162" t="s">
        <v>95</v>
      </c>
      <c r="G81" s="163">
        <f t="shared" ref="G81" si="89">+E79*0.4</f>
        <v>0.14360000000000001</v>
      </c>
      <c r="H81" s="164"/>
      <c r="I81" s="165"/>
      <c r="J81" s="166">
        <v>0.56399999999999995</v>
      </c>
      <c r="K81" s="465"/>
      <c r="L81" s="465"/>
      <c r="M81" s="465"/>
      <c r="N81" s="465"/>
      <c r="O81" s="465"/>
      <c r="P81" s="470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1:26" s="156" customFormat="1" ht="13.5" customHeight="1" x14ac:dyDescent="0.25">
      <c r="A82" s="146"/>
      <c r="B82" s="485"/>
      <c r="C82" s="465"/>
      <c r="D82" s="465"/>
      <c r="E82" s="465"/>
      <c r="F82" s="162" t="s">
        <v>96</v>
      </c>
      <c r="G82" s="163">
        <f t="shared" ref="G82" si="90">IF(E79&lt;0.125,"NA",IF(0.125&lt;=E79,(0.8*E79)))</f>
        <v>0.28720000000000001</v>
      </c>
      <c r="H82" s="164"/>
      <c r="I82" s="165"/>
      <c r="J82" s="166">
        <v>0.61299999999999999</v>
      </c>
      <c r="K82" s="465"/>
      <c r="L82" s="465"/>
      <c r="M82" s="465"/>
      <c r="N82" s="465"/>
      <c r="O82" s="465"/>
      <c r="P82" s="470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spans="1:26" s="156" customFormat="1" ht="13.5" customHeight="1" thickBot="1" x14ac:dyDescent="0.3">
      <c r="A83" s="146"/>
      <c r="B83" s="486"/>
      <c r="C83" s="466"/>
      <c r="D83" s="466"/>
      <c r="E83" s="466"/>
      <c r="F83" s="167" t="s">
        <v>97</v>
      </c>
      <c r="G83" s="168">
        <f t="shared" ref="G83" si="91">+E79</f>
        <v>0.35899999999999999</v>
      </c>
      <c r="H83" s="169"/>
      <c r="I83" s="170"/>
      <c r="J83" s="171">
        <v>0.56499999999999995</v>
      </c>
      <c r="K83" s="466"/>
      <c r="L83" s="466"/>
      <c r="M83" s="466"/>
      <c r="N83" s="466"/>
      <c r="O83" s="466"/>
      <c r="P83" s="471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1:26" s="156" customFormat="1" ht="13.5" customHeight="1" x14ac:dyDescent="0.25">
      <c r="A84" s="146"/>
      <c r="B84" s="484">
        <v>14</v>
      </c>
      <c r="C84" s="487">
        <f t="shared" ref="C84" si="92">+C79+$N$12</f>
        <v>9.82</v>
      </c>
      <c r="D84" s="464">
        <v>2.5999999999999999E-2</v>
      </c>
      <c r="E84" s="464">
        <v>5.7000000000000002E-2</v>
      </c>
      <c r="F84" s="157" t="s">
        <v>93</v>
      </c>
      <c r="G84" s="158">
        <v>0</v>
      </c>
      <c r="H84" s="159"/>
      <c r="I84" s="160"/>
      <c r="J84" s="161">
        <v>0.34599999999999997</v>
      </c>
      <c r="K84" s="464">
        <f t="shared" ref="K84" si="93">+IF(E84&lt;=0.12,(J86),(IF(E84&lt;0.16,((J85+2*J86+J87)/4),IF(E84&gt;=0.16,((J84+3*J85+2*J86+3*J87+J88)/10)))))</f>
        <v>0.32900000000000001</v>
      </c>
      <c r="L84" s="464">
        <f>ROUND(+(D79+D84)/2*(C84-C79),3)</f>
        <v>0.10100000000000001</v>
      </c>
      <c r="M84" s="464">
        <f t="shared" ref="M84" si="94">ROUND(+K84*L84,4)</f>
        <v>3.32E-2</v>
      </c>
      <c r="N84" s="467">
        <f t="shared" ref="N84" si="95">ROUND(+M84/$M$118*100,2)</f>
        <v>3.49</v>
      </c>
      <c r="O84" s="468"/>
      <c r="P84" s="469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1:26" s="156" customFormat="1" ht="13.5" customHeight="1" x14ac:dyDescent="0.25">
      <c r="A85" s="146"/>
      <c r="B85" s="485"/>
      <c r="C85" s="465"/>
      <c r="D85" s="465"/>
      <c r="E85" s="465"/>
      <c r="F85" s="162" t="s">
        <v>94</v>
      </c>
      <c r="G85" s="163" t="str">
        <f t="shared" ref="G85" si="96">IF(E84&lt;0.125,"NA",IF(0.125&lt;=E84,(0.2*E84)))</f>
        <v>NA</v>
      </c>
      <c r="H85" s="164"/>
      <c r="I85" s="165"/>
      <c r="J85" s="166"/>
      <c r="K85" s="465"/>
      <c r="L85" s="465"/>
      <c r="M85" s="465"/>
      <c r="N85" s="465"/>
      <c r="O85" s="465"/>
      <c r="P85" s="470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spans="1:26" s="156" customFormat="1" ht="13.5" customHeight="1" x14ac:dyDescent="0.25">
      <c r="A86" s="146"/>
      <c r="B86" s="485"/>
      <c r="C86" s="465"/>
      <c r="D86" s="465"/>
      <c r="E86" s="465"/>
      <c r="F86" s="162" t="s">
        <v>95</v>
      </c>
      <c r="G86" s="163">
        <f t="shared" ref="G86" si="97">+E84*0.4</f>
        <v>2.2800000000000001E-2</v>
      </c>
      <c r="H86" s="164"/>
      <c r="I86" s="165"/>
      <c r="J86" s="166">
        <v>0.32900000000000001</v>
      </c>
      <c r="K86" s="465"/>
      <c r="L86" s="465"/>
      <c r="M86" s="465"/>
      <c r="N86" s="465"/>
      <c r="O86" s="465"/>
      <c r="P86" s="470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1:26" s="156" customFormat="1" ht="13.5" customHeight="1" x14ac:dyDescent="0.25">
      <c r="A87" s="146"/>
      <c r="B87" s="485"/>
      <c r="C87" s="465"/>
      <c r="D87" s="465"/>
      <c r="E87" s="465"/>
      <c r="F87" s="162" t="s">
        <v>96</v>
      </c>
      <c r="G87" s="163" t="str">
        <f t="shared" ref="G87" si="98">IF(E84&lt;0.125,"NA",IF(0.125&lt;=E84,(0.8*E84)))</f>
        <v>NA</v>
      </c>
      <c r="H87" s="164"/>
      <c r="I87" s="165"/>
      <c r="J87" s="166"/>
      <c r="K87" s="465"/>
      <c r="L87" s="465"/>
      <c r="M87" s="465"/>
      <c r="N87" s="465"/>
      <c r="O87" s="465"/>
      <c r="P87" s="470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spans="1:26" s="156" customFormat="1" ht="13.5" customHeight="1" thickBot="1" x14ac:dyDescent="0.3">
      <c r="A88" s="146"/>
      <c r="B88" s="486"/>
      <c r="C88" s="466"/>
      <c r="D88" s="466"/>
      <c r="E88" s="466"/>
      <c r="F88" s="167" t="s">
        <v>97</v>
      </c>
      <c r="G88" s="168">
        <f t="shared" ref="G88" si="99">+E84</f>
        <v>5.7000000000000002E-2</v>
      </c>
      <c r="H88" s="169"/>
      <c r="I88" s="170"/>
      <c r="J88" s="171">
        <v>0.32900000000000001</v>
      </c>
      <c r="K88" s="466"/>
      <c r="L88" s="466"/>
      <c r="M88" s="466"/>
      <c r="N88" s="466"/>
      <c r="O88" s="466"/>
      <c r="P88" s="471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1:26" s="156" customFormat="1" ht="13.5" customHeight="1" x14ac:dyDescent="0.25">
      <c r="A89" s="146"/>
      <c r="B89" s="484">
        <v>15</v>
      </c>
      <c r="C89" s="487">
        <f t="shared" ref="C89" si="100">+C84+$N$12</f>
        <v>10.32</v>
      </c>
      <c r="D89" s="464">
        <v>0.129</v>
      </c>
      <c r="E89" s="464">
        <v>0.108</v>
      </c>
      <c r="F89" s="157" t="s">
        <v>93</v>
      </c>
      <c r="G89" s="158">
        <v>0</v>
      </c>
      <c r="H89" s="159"/>
      <c r="I89" s="160"/>
      <c r="J89" s="161">
        <v>0.1</v>
      </c>
      <c r="K89" s="464">
        <f t="shared" ref="K89" si="101">+IF(E89&lt;=0.12,(J91),(IF(E89&lt;0.16,((J90+2*J91+J92)/4),IF(E89&gt;=0.16,((J89+3*J90+2*J91+3*J92+J93)/10)))))</f>
        <v>0.1</v>
      </c>
      <c r="L89" s="464">
        <f t="shared" ref="L89" si="102">ROUND(+(D84+D89)/2*(C89-C84),3)</f>
        <v>3.9E-2</v>
      </c>
      <c r="M89" s="464">
        <f t="shared" ref="M89" si="103">ROUND(+K89*L89,4)</f>
        <v>3.8999999999999998E-3</v>
      </c>
      <c r="N89" s="467">
        <f t="shared" ref="N89" si="104">ROUND(+M89/$M$118*100,2)</f>
        <v>0.41</v>
      </c>
      <c r="O89" s="468"/>
      <c r="P89" s="469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spans="1:26" s="156" customFormat="1" ht="13.5" customHeight="1" x14ac:dyDescent="0.25">
      <c r="A90" s="146"/>
      <c r="B90" s="485"/>
      <c r="C90" s="465"/>
      <c r="D90" s="465"/>
      <c r="E90" s="465"/>
      <c r="F90" s="162" t="s">
        <v>94</v>
      </c>
      <c r="G90" s="163" t="str">
        <f t="shared" ref="G90" si="105">IF(E89&lt;0.125,"NA",IF(0.125&lt;=E89,(0.2*E89)))</f>
        <v>NA</v>
      </c>
      <c r="H90" s="164"/>
      <c r="I90" s="165"/>
      <c r="J90" s="166"/>
      <c r="K90" s="465"/>
      <c r="L90" s="465"/>
      <c r="M90" s="465"/>
      <c r="N90" s="465"/>
      <c r="O90" s="465"/>
      <c r="P90" s="470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spans="1:26" s="156" customFormat="1" ht="13.5" customHeight="1" x14ac:dyDescent="0.25">
      <c r="A91" s="146"/>
      <c r="B91" s="485"/>
      <c r="C91" s="465"/>
      <c r="D91" s="465"/>
      <c r="E91" s="465"/>
      <c r="F91" s="162" t="s">
        <v>95</v>
      </c>
      <c r="G91" s="163">
        <f t="shared" ref="G91" si="106">+E89*0.4</f>
        <v>4.3200000000000002E-2</v>
      </c>
      <c r="H91" s="164"/>
      <c r="I91" s="165"/>
      <c r="J91" s="166">
        <v>0.1</v>
      </c>
      <c r="K91" s="465"/>
      <c r="L91" s="465"/>
      <c r="M91" s="465"/>
      <c r="N91" s="465"/>
      <c r="O91" s="465"/>
      <c r="P91" s="470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spans="1:26" s="156" customFormat="1" ht="13.5" customHeight="1" x14ac:dyDescent="0.25">
      <c r="A92" s="146"/>
      <c r="B92" s="485"/>
      <c r="C92" s="465"/>
      <c r="D92" s="465"/>
      <c r="E92" s="465"/>
      <c r="F92" s="162" t="s">
        <v>96</v>
      </c>
      <c r="G92" s="163" t="str">
        <f t="shared" ref="G92" si="107">IF(E89&lt;0.125,"NA",IF(0.125&lt;=E89,(0.8*E89)))</f>
        <v>NA</v>
      </c>
      <c r="H92" s="164"/>
      <c r="I92" s="165"/>
      <c r="J92" s="166"/>
      <c r="K92" s="465"/>
      <c r="L92" s="465"/>
      <c r="M92" s="465"/>
      <c r="N92" s="465"/>
      <c r="O92" s="465"/>
      <c r="P92" s="470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26" s="156" customFormat="1" ht="13.5" customHeight="1" thickBot="1" x14ac:dyDescent="0.3">
      <c r="A93" s="146"/>
      <c r="B93" s="486"/>
      <c r="C93" s="466"/>
      <c r="D93" s="466"/>
      <c r="E93" s="466"/>
      <c r="F93" s="167" t="s">
        <v>97</v>
      </c>
      <c r="G93" s="168">
        <f t="shared" ref="G93" si="108">+E89</f>
        <v>0.108</v>
      </c>
      <c r="H93" s="169"/>
      <c r="I93" s="170"/>
      <c r="J93" s="171"/>
      <c r="K93" s="466"/>
      <c r="L93" s="466"/>
      <c r="M93" s="466"/>
      <c r="N93" s="466"/>
      <c r="O93" s="466"/>
      <c r="P93" s="471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spans="1:26" s="156" customFormat="1" ht="13.5" customHeight="1" x14ac:dyDescent="0.25">
      <c r="A94" s="146"/>
      <c r="B94" s="484">
        <v>16</v>
      </c>
      <c r="C94" s="487">
        <f>+C89+0.3</f>
        <v>10.620000000000001</v>
      </c>
      <c r="D94" s="464">
        <v>9.5000000000000001E-2</v>
      </c>
      <c r="E94" s="464">
        <v>0.106</v>
      </c>
      <c r="F94" s="157" t="s">
        <v>93</v>
      </c>
      <c r="G94" s="158">
        <v>0</v>
      </c>
      <c r="H94" s="159"/>
      <c r="I94" s="160"/>
      <c r="J94" s="161">
        <v>0.254</v>
      </c>
      <c r="K94" s="464">
        <f t="shared" ref="K94" si="109">+IF(E94&lt;=0.12,(J96),(IF(E94&lt;0.16,((J95+2*J96+J97)/4),IF(E94&gt;=0.16,((J94+3*J95+2*J96+3*J97+J98)/10)))))</f>
        <v>0.38200000000000001</v>
      </c>
      <c r="L94" s="464">
        <f>ROUND(+(D89+D94)/2*(C94-C89),3)</f>
        <v>3.4000000000000002E-2</v>
      </c>
      <c r="M94" s="464">
        <f t="shared" ref="M94" si="110">ROUND(+K94*L94,4)</f>
        <v>1.2999999999999999E-2</v>
      </c>
      <c r="N94" s="467">
        <f t="shared" ref="N94" si="111">ROUND(+M94/$M$118*100,2)</f>
        <v>1.36</v>
      </c>
      <c r="O94" s="468"/>
      <c r="P94" s="469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1:26" s="156" customFormat="1" ht="13.5" customHeight="1" x14ac:dyDescent="0.25">
      <c r="A95" s="146"/>
      <c r="B95" s="485"/>
      <c r="C95" s="465"/>
      <c r="D95" s="465"/>
      <c r="E95" s="465"/>
      <c r="F95" s="162" t="s">
        <v>94</v>
      </c>
      <c r="G95" s="163" t="str">
        <f t="shared" ref="G95" si="112">IF(E94&lt;0.125,"NA",IF(0.125&lt;=E94,(0.2*E94)))</f>
        <v>NA</v>
      </c>
      <c r="H95" s="164"/>
      <c r="I95" s="165"/>
      <c r="J95" s="166"/>
      <c r="K95" s="465"/>
      <c r="L95" s="465"/>
      <c r="M95" s="465"/>
      <c r="N95" s="465"/>
      <c r="O95" s="465"/>
      <c r="P95" s="470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26" s="156" customFormat="1" ht="13.5" customHeight="1" x14ac:dyDescent="0.25">
      <c r="A96" s="146"/>
      <c r="B96" s="485"/>
      <c r="C96" s="465"/>
      <c r="D96" s="465"/>
      <c r="E96" s="465"/>
      <c r="F96" s="162" t="s">
        <v>95</v>
      </c>
      <c r="G96" s="163">
        <f t="shared" ref="G96" si="113">+E94*0.4</f>
        <v>4.24E-2</v>
      </c>
      <c r="H96" s="164"/>
      <c r="I96" s="165"/>
      <c r="J96" s="166">
        <v>0.38200000000000001</v>
      </c>
      <c r="K96" s="465"/>
      <c r="L96" s="465"/>
      <c r="M96" s="465"/>
      <c r="N96" s="465"/>
      <c r="O96" s="465"/>
      <c r="P96" s="470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6" s="156" customFormat="1" ht="13.5" customHeight="1" x14ac:dyDescent="0.25">
      <c r="A97" s="146"/>
      <c r="B97" s="485"/>
      <c r="C97" s="465"/>
      <c r="D97" s="465"/>
      <c r="E97" s="465"/>
      <c r="F97" s="162" t="s">
        <v>96</v>
      </c>
      <c r="G97" s="163" t="str">
        <f t="shared" ref="G97" si="114">IF(E94&lt;0.125,"NA",IF(0.125&lt;=E94,(0.8*E94)))</f>
        <v>NA</v>
      </c>
      <c r="H97" s="164"/>
      <c r="I97" s="165"/>
      <c r="J97" s="166"/>
      <c r="K97" s="465"/>
      <c r="L97" s="465"/>
      <c r="M97" s="465"/>
      <c r="N97" s="465"/>
      <c r="O97" s="465"/>
      <c r="P97" s="470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spans="1:26" s="156" customFormat="1" ht="13.5" customHeight="1" thickBot="1" x14ac:dyDescent="0.3">
      <c r="A98" s="146"/>
      <c r="B98" s="486"/>
      <c r="C98" s="466"/>
      <c r="D98" s="466"/>
      <c r="E98" s="466"/>
      <c r="F98" s="167" t="s">
        <v>97</v>
      </c>
      <c r="G98" s="168">
        <f t="shared" ref="G98" si="115">+E94</f>
        <v>0.106</v>
      </c>
      <c r="H98" s="169"/>
      <c r="I98" s="170"/>
      <c r="J98" s="171">
        <v>0.34300000000000003</v>
      </c>
      <c r="K98" s="466"/>
      <c r="L98" s="466"/>
      <c r="M98" s="466"/>
      <c r="N98" s="466"/>
      <c r="O98" s="466"/>
      <c r="P98" s="471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1:26" s="3" customFormat="1" ht="14.1" customHeight="1" x14ac:dyDescent="0.2">
      <c r="B99" s="472" t="s">
        <v>29</v>
      </c>
      <c r="C99" s="475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7"/>
    </row>
    <row r="100" spans="1:26" s="3" customFormat="1" ht="14.1" customHeight="1" x14ac:dyDescent="0.2">
      <c r="B100" s="473"/>
      <c r="C100" s="478"/>
      <c r="D100" s="479"/>
      <c r="E100" s="479"/>
      <c r="F100" s="479"/>
      <c r="G100" s="479"/>
      <c r="H100" s="479"/>
      <c r="I100" s="479"/>
      <c r="J100" s="479"/>
      <c r="K100" s="479"/>
      <c r="L100" s="479"/>
      <c r="M100" s="479"/>
      <c r="N100" s="479"/>
      <c r="O100" s="479"/>
      <c r="P100" s="480"/>
    </row>
    <row r="101" spans="1:26" s="3" customFormat="1" ht="14.1" customHeight="1" x14ac:dyDescent="0.2">
      <c r="B101" s="473"/>
      <c r="C101" s="478"/>
      <c r="D101" s="479"/>
      <c r="E101" s="479"/>
      <c r="F101" s="479"/>
      <c r="G101" s="479"/>
      <c r="H101" s="479"/>
      <c r="I101" s="479"/>
      <c r="J101" s="479"/>
      <c r="K101" s="479"/>
      <c r="L101" s="479"/>
      <c r="M101" s="479"/>
      <c r="N101" s="479"/>
      <c r="O101" s="479"/>
      <c r="P101" s="480"/>
    </row>
    <row r="102" spans="1:26" s="3" customFormat="1" ht="14.1" customHeight="1" x14ac:dyDescent="0.2">
      <c r="B102" s="473"/>
      <c r="C102" s="478"/>
      <c r="D102" s="479"/>
      <c r="E102" s="479"/>
      <c r="F102" s="479"/>
      <c r="G102" s="479"/>
      <c r="H102" s="479"/>
      <c r="I102" s="479"/>
      <c r="J102" s="479"/>
      <c r="K102" s="479"/>
      <c r="L102" s="479"/>
      <c r="M102" s="479"/>
      <c r="N102" s="479"/>
      <c r="O102" s="479"/>
      <c r="P102" s="480"/>
    </row>
    <row r="103" spans="1:26" s="3" customFormat="1" ht="14.1" customHeight="1" x14ac:dyDescent="0.2">
      <c r="B103" s="473"/>
      <c r="C103" s="478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79"/>
      <c r="O103" s="479"/>
      <c r="P103" s="480"/>
    </row>
    <row r="104" spans="1:26" s="3" customFormat="1" ht="14.1" customHeight="1" thickBot="1" x14ac:dyDescent="0.25">
      <c r="B104" s="474"/>
      <c r="C104" s="481"/>
      <c r="D104" s="482"/>
      <c r="E104" s="482"/>
      <c r="F104" s="482"/>
      <c r="G104" s="482"/>
      <c r="H104" s="482"/>
      <c r="I104" s="482"/>
      <c r="J104" s="482"/>
      <c r="K104" s="482"/>
      <c r="L104" s="482"/>
      <c r="M104" s="482"/>
      <c r="N104" s="482"/>
      <c r="O104" s="482"/>
      <c r="P104" s="483"/>
    </row>
    <row r="105" spans="1:26" s="3" customFormat="1" ht="28.5" customHeight="1" thickBot="1" x14ac:dyDescent="0.25">
      <c r="A105" s="172"/>
      <c r="B105" s="173" t="s">
        <v>98</v>
      </c>
      <c r="C105" s="451" t="s">
        <v>134</v>
      </c>
      <c r="D105" s="451"/>
      <c r="E105" s="451"/>
      <c r="F105" s="451"/>
      <c r="G105" s="451"/>
      <c r="H105" s="452"/>
      <c r="I105" s="453"/>
      <c r="J105" s="173"/>
      <c r="K105" s="451" t="s">
        <v>101</v>
      </c>
      <c r="L105" s="451"/>
      <c r="M105" s="451"/>
      <c r="N105" s="451"/>
      <c r="O105" s="451"/>
      <c r="P105" s="452"/>
    </row>
    <row r="106" spans="1:26" s="3" customFormat="1" ht="28.5" customHeight="1" thickBot="1" x14ac:dyDescent="0.25">
      <c r="B106" s="174" t="s">
        <v>102</v>
      </c>
      <c r="C106" s="455" t="s">
        <v>103</v>
      </c>
      <c r="D106" s="455"/>
      <c r="E106" s="455"/>
      <c r="F106" s="455"/>
      <c r="G106" s="455"/>
      <c r="H106" s="456"/>
      <c r="I106" s="454"/>
      <c r="J106" s="174" t="s">
        <v>104</v>
      </c>
      <c r="K106" s="455" t="s">
        <v>105</v>
      </c>
      <c r="L106" s="455"/>
      <c r="M106" s="455"/>
      <c r="N106" s="455"/>
      <c r="O106" s="455"/>
      <c r="P106" s="456"/>
    </row>
    <row r="107" spans="1:26" s="112" customFormat="1" ht="13.5" customHeight="1" x14ac:dyDescent="0.25">
      <c r="A107" s="175"/>
      <c r="B107" s="457">
        <f>+B59</f>
        <v>9</v>
      </c>
      <c r="C107" s="460">
        <f>+C54</f>
        <v>6.82</v>
      </c>
      <c r="D107" s="462">
        <f>+D54</f>
        <v>0.32</v>
      </c>
      <c r="E107" s="462">
        <f>+E59</f>
        <v>0.38400000000000001</v>
      </c>
      <c r="F107" s="176" t="s">
        <v>93</v>
      </c>
      <c r="G107" s="176">
        <v>0.01</v>
      </c>
      <c r="H107" s="177"/>
      <c r="I107" s="178"/>
      <c r="J107" s="179">
        <v>0.309</v>
      </c>
      <c r="K107" s="463">
        <f>+AVERAGE(J107:J117)</f>
        <v>0.49199999999999999</v>
      </c>
      <c r="L107" s="442">
        <f>ROUND(+(D107+D112)/2*(C112-C107),3)</f>
        <v>0.189</v>
      </c>
      <c r="M107" s="445">
        <f>ROUND(+K107*L107,4)</f>
        <v>9.2999999999999999E-2</v>
      </c>
      <c r="N107" s="442">
        <f>ROUND(+M107/$M$118*100,2)</f>
        <v>9.76</v>
      </c>
      <c r="O107" s="442"/>
      <c r="P107" s="446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spans="1:26" s="112" customFormat="1" ht="13.5" customHeight="1" x14ac:dyDescent="0.25">
      <c r="A108" s="175"/>
      <c r="B108" s="458"/>
      <c r="C108" s="443"/>
      <c r="D108" s="443"/>
      <c r="E108" s="443"/>
      <c r="F108" s="181" t="s">
        <v>106</v>
      </c>
      <c r="G108" s="182">
        <f>+E107*0.1</f>
        <v>3.8400000000000004E-2</v>
      </c>
      <c r="H108" s="183"/>
      <c r="I108" s="184"/>
      <c r="J108" s="185">
        <v>0.54800000000000004</v>
      </c>
      <c r="K108" s="443"/>
      <c r="L108" s="443"/>
      <c r="M108" s="443"/>
      <c r="N108" s="443"/>
      <c r="O108" s="443"/>
      <c r="P108" s="447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spans="1:26" s="112" customFormat="1" ht="13.5" customHeight="1" x14ac:dyDescent="0.25">
      <c r="A109" s="175"/>
      <c r="B109" s="458"/>
      <c r="C109" s="443"/>
      <c r="D109" s="443"/>
      <c r="E109" s="443"/>
      <c r="F109" s="181" t="s">
        <v>107</v>
      </c>
      <c r="G109" s="182">
        <f>+E107*0.2</f>
        <v>7.6800000000000007E-2</v>
      </c>
      <c r="H109" s="183"/>
      <c r="I109" s="184"/>
      <c r="J109" s="185">
        <v>0.55000000000000004</v>
      </c>
      <c r="K109" s="443"/>
      <c r="L109" s="443"/>
      <c r="M109" s="443"/>
      <c r="N109" s="443"/>
      <c r="O109" s="443"/>
      <c r="P109" s="447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spans="1:26" s="112" customFormat="1" ht="13.5" customHeight="1" x14ac:dyDescent="0.25">
      <c r="A110" s="175"/>
      <c r="B110" s="458"/>
      <c r="C110" s="443"/>
      <c r="D110" s="443"/>
      <c r="E110" s="443"/>
      <c r="F110" s="181" t="s">
        <v>108</v>
      </c>
      <c r="G110" s="182">
        <f>+E107*0.3</f>
        <v>0.1152</v>
      </c>
      <c r="H110" s="183"/>
      <c r="I110" s="184"/>
      <c r="J110" s="185">
        <v>0.56599999999999995</v>
      </c>
      <c r="K110" s="443"/>
      <c r="L110" s="443"/>
      <c r="M110" s="443"/>
      <c r="N110" s="443"/>
      <c r="O110" s="443"/>
      <c r="P110" s="447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spans="1:26" s="112" customFormat="1" ht="13.5" customHeight="1" x14ac:dyDescent="0.25">
      <c r="A111" s="175"/>
      <c r="B111" s="458"/>
      <c r="C111" s="461"/>
      <c r="D111" s="461"/>
      <c r="E111" s="443"/>
      <c r="F111" s="181" t="s">
        <v>109</v>
      </c>
      <c r="G111" s="182">
        <f>+E107*0.4</f>
        <v>0.15360000000000001</v>
      </c>
      <c r="H111" s="183"/>
      <c r="I111" s="184"/>
      <c r="J111" s="185">
        <v>0.56599999999999995</v>
      </c>
      <c r="K111" s="443"/>
      <c r="L111" s="443"/>
      <c r="M111" s="443"/>
      <c r="N111" s="443"/>
      <c r="O111" s="443"/>
      <c r="P111" s="447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spans="1:26" s="112" customFormat="1" ht="13.5" customHeight="1" x14ac:dyDescent="0.25">
      <c r="A112" s="175"/>
      <c r="B112" s="458"/>
      <c r="C112" s="449">
        <f>+C59</f>
        <v>7.32</v>
      </c>
      <c r="D112" s="450">
        <f>+D59</f>
        <v>0.434</v>
      </c>
      <c r="E112" s="443"/>
      <c r="F112" s="181" t="s">
        <v>30</v>
      </c>
      <c r="G112" s="182">
        <f>+E107*0.5</f>
        <v>0.192</v>
      </c>
      <c r="H112" s="183"/>
      <c r="I112" s="184"/>
      <c r="J112" s="185">
        <v>0.51</v>
      </c>
      <c r="K112" s="443"/>
      <c r="L112" s="443"/>
      <c r="M112" s="443"/>
      <c r="N112" s="443"/>
      <c r="O112" s="443"/>
      <c r="P112" s="447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spans="1:26" s="112" customFormat="1" ht="13.5" customHeight="1" x14ac:dyDescent="0.25">
      <c r="A113" s="175"/>
      <c r="B113" s="458"/>
      <c r="C113" s="443"/>
      <c r="D113" s="443"/>
      <c r="E113" s="443"/>
      <c r="F113" s="181" t="s">
        <v>110</v>
      </c>
      <c r="G113" s="182">
        <f>+E107*0.6</f>
        <v>0.23039999999999999</v>
      </c>
      <c r="H113" s="183"/>
      <c r="I113" s="184"/>
      <c r="J113" s="185">
        <v>0.50700000000000001</v>
      </c>
      <c r="K113" s="443"/>
      <c r="L113" s="443"/>
      <c r="M113" s="443"/>
      <c r="N113" s="443"/>
      <c r="O113" s="443"/>
      <c r="P113" s="447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spans="1:26" s="112" customFormat="1" ht="13.5" customHeight="1" x14ac:dyDescent="0.25">
      <c r="A114" s="175"/>
      <c r="B114" s="458"/>
      <c r="C114" s="443"/>
      <c r="D114" s="443"/>
      <c r="E114" s="443"/>
      <c r="F114" s="181" t="s">
        <v>111</v>
      </c>
      <c r="G114" s="182">
        <f>+E107*0.7</f>
        <v>0.26879999999999998</v>
      </c>
      <c r="H114" s="183"/>
      <c r="I114" s="184"/>
      <c r="J114" s="185">
        <v>0.47299999999999998</v>
      </c>
      <c r="K114" s="443"/>
      <c r="L114" s="443"/>
      <c r="M114" s="443"/>
      <c r="N114" s="443"/>
      <c r="O114" s="443"/>
      <c r="P114" s="447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spans="1:26" s="112" customFormat="1" ht="13.5" customHeight="1" x14ac:dyDescent="0.25">
      <c r="A115" s="175"/>
      <c r="B115" s="458"/>
      <c r="C115" s="443"/>
      <c r="D115" s="443"/>
      <c r="E115" s="443"/>
      <c r="F115" s="181" t="s">
        <v>112</v>
      </c>
      <c r="G115" s="182">
        <f>+E107*0.8</f>
        <v>0.30720000000000003</v>
      </c>
      <c r="H115" s="183"/>
      <c r="I115" s="184"/>
      <c r="J115" s="185">
        <v>0.57199999999999995</v>
      </c>
      <c r="K115" s="443"/>
      <c r="L115" s="443"/>
      <c r="M115" s="443"/>
      <c r="N115" s="443"/>
      <c r="O115" s="443"/>
      <c r="P115" s="447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spans="1:26" s="112" customFormat="1" ht="13.5" customHeight="1" x14ac:dyDescent="0.25">
      <c r="A116" s="175"/>
      <c r="B116" s="458"/>
      <c r="C116" s="443"/>
      <c r="D116" s="443"/>
      <c r="E116" s="443"/>
      <c r="F116" s="181" t="s">
        <v>113</v>
      </c>
      <c r="G116" s="182">
        <f>+E107*0.9</f>
        <v>0.34560000000000002</v>
      </c>
      <c r="H116" s="183"/>
      <c r="I116" s="184"/>
      <c r="J116" s="185">
        <v>0.42</v>
      </c>
      <c r="K116" s="443"/>
      <c r="L116" s="443"/>
      <c r="M116" s="443"/>
      <c r="N116" s="443"/>
      <c r="O116" s="443"/>
      <c r="P116" s="447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spans="1:26" s="112" customFormat="1" ht="15.75" thickBot="1" x14ac:dyDescent="0.3">
      <c r="A117" s="175"/>
      <c r="B117" s="459"/>
      <c r="C117" s="444"/>
      <c r="D117" s="444"/>
      <c r="E117" s="444"/>
      <c r="F117" s="186" t="s">
        <v>31</v>
      </c>
      <c r="G117" s="186">
        <f>+E107</f>
        <v>0.38400000000000001</v>
      </c>
      <c r="H117" s="187"/>
      <c r="I117" s="188"/>
      <c r="J117" s="189">
        <v>0.39100000000000001</v>
      </c>
      <c r="K117" s="444"/>
      <c r="L117" s="444"/>
      <c r="M117" s="444"/>
      <c r="N117" s="444"/>
      <c r="O117" s="444"/>
      <c r="P117" s="448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spans="1:26" s="3" customFormat="1" ht="12.75" x14ac:dyDescent="0.2">
      <c r="A118" s="11"/>
      <c r="B118" s="430" t="s">
        <v>32</v>
      </c>
      <c r="C118" s="430"/>
      <c r="D118" s="430"/>
      <c r="E118" s="430"/>
      <c r="F118" s="430"/>
      <c r="G118" s="430"/>
      <c r="H118" s="430"/>
      <c r="I118" s="430"/>
      <c r="J118" s="430"/>
      <c r="K118" s="12">
        <f>ROUND(+M118/L118,3)</f>
        <v>0.47199999999999998</v>
      </c>
      <c r="L118" s="16">
        <f>SUM(L19:L117)</f>
        <v>2.0169999999999999</v>
      </c>
      <c r="M118" s="15">
        <f>SUM(M19:M117)</f>
        <v>0.95240000000000002</v>
      </c>
      <c r="N118" s="13">
        <f>ROUND(SUM(N18:N117),0)</f>
        <v>100</v>
      </c>
      <c r="O118" s="432" t="s">
        <v>33</v>
      </c>
      <c r="P118" s="434"/>
    </row>
    <row r="119" spans="1:26" s="3" customFormat="1" ht="15" customHeight="1" thickBot="1" x14ac:dyDescent="0.25">
      <c r="A119" s="11"/>
      <c r="B119" s="431"/>
      <c r="C119" s="431"/>
      <c r="D119" s="431"/>
      <c r="E119" s="431"/>
      <c r="F119" s="431"/>
      <c r="G119" s="431"/>
      <c r="H119" s="431"/>
      <c r="I119" s="431"/>
      <c r="J119" s="431"/>
      <c r="K119" s="14" t="s">
        <v>34</v>
      </c>
      <c r="L119" s="14" t="s">
        <v>50</v>
      </c>
      <c r="M119" s="14" t="s">
        <v>51</v>
      </c>
      <c r="N119" s="14" t="s">
        <v>35</v>
      </c>
      <c r="O119" s="433"/>
      <c r="P119" s="435"/>
    </row>
    <row r="120" spans="1:26" ht="15" customHeight="1" thickBot="1" x14ac:dyDescent="0.3">
      <c r="A120" s="5"/>
      <c r="B120" s="436" t="s">
        <v>116</v>
      </c>
      <c r="C120" s="437"/>
      <c r="D120" s="437"/>
      <c r="E120" s="437"/>
      <c r="F120" s="438"/>
      <c r="G120" s="436" t="s">
        <v>117</v>
      </c>
      <c r="H120" s="437"/>
      <c r="I120" s="437"/>
      <c r="J120" s="437"/>
      <c r="K120" s="438"/>
      <c r="L120" s="439" t="s">
        <v>53</v>
      </c>
      <c r="M120" s="440"/>
      <c r="N120" s="440"/>
      <c r="O120" s="440"/>
      <c r="P120" s="441"/>
    </row>
    <row r="121" spans="1:26" ht="15" customHeight="1" x14ac:dyDescent="0.25">
      <c r="A121" s="5"/>
      <c r="B121" s="400"/>
      <c r="C121" s="401"/>
      <c r="D121" s="401"/>
      <c r="E121" s="401"/>
      <c r="F121" s="402"/>
      <c r="G121" s="400"/>
      <c r="H121" s="401"/>
      <c r="I121" s="401"/>
      <c r="J121" s="401"/>
      <c r="K121" s="402"/>
      <c r="L121" s="409" t="s">
        <v>118</v>
      </c>
      <c r="M121" s="410"/>
      <c r="N121" s="410"/>
      <c r="O121" s="411">
        <f>+AVERAGE(E18:E98)</f>
        <v>0.22968749999999999</v>
      </c>
      <c r="P121" s="412"/>
    </row>
    <row r="122" spans="1:26" ht="15" customHeight="1" thickBot="1" x14ac:dyDescent="0.3">
      <c r="A122" s="5"/>
      <c r="B122" s="403"/>
      <c r="C122" s="404"/>
      <c r="D122" s="404"/>
      <c r="E122" s="404"/>
      <c r="F122" s="405"/>
      <c r="G122" s="403"/>
      <c r="H122" s="404"/>
      <c r="I122" s="404"/>
      <c r="J122" s="404"/>
      <c r="K122" s="405"/>
      <c r="L122" s="413" t="s">
        <v>119</v>
      </c>
      <c r="M122" s="414"/>
      <c r="N122" s="414"/>
      <c r="O122" s="415">
        <f>+MAX(E18:E98)</f>
        <v>0.38400000000000001</v>
      </c>
      <c r="P122" s="416"/>
    </row>
    <row r="123" spans="1:26" ht="18.600000000000001" customHeight="1" x14ac:dyDescent="0.25">
      <c r="A123" s="6"/>
      <c r="B123" s="403"/>
      <c r="C123" s="404"/>
      <c r="D123" s="404"/>
      <c r="E123" s="404"/>
      <c r="F123" s="405"/>
      <c r="G123" s="403"/>
      <c r="H123" s="404"/>
      <c r="I123" s="404"/>
      <c r="J123" s="404"/>
      <c r="K123" s="405"/>
      <c r="L123" s="417"/>
      <c r="M123" s="418"/>
      <c r="N123" s="418"/>
      <c r="O123" s="418"/>
      <c r="P123" s="419"/>
    </row>
    <row r="124" spans="1:26" ht="70.5" customHeight="1" x14ac:dyDescent="0.25">
      <c r="A124" s="10"/>
      <c r="B124" s="403"/>
      <c r="C124" s="404"/>
      <c r="D124" s="404"/>
      <c r="E124" s="404"/>
      <c r="F124" s="405"/>
      <c r="G124" s="403"/>
      <c r="H124" s="404"/>
      <c r="I124" s="404"/>
      <c r="J124" s="404"/>
      <c r="K124" s="405"/>
      <c r="L124" s="420"/>
      <c r="M124" s="421"/>
      <c r="N124" s="421"/>
      <c r="O124" s="421"/>
      <c r="P124" s="422"/>
    </row>
    <row r="125" spans="1:26" ht="15" customHeight="1" thickBot="1" x14ac:dyDescent="0.3">
      <c r="A125" s="5"/>
      <c r="B125" s="403"/>
      <c r="C125" s="404"/>
      <c r="D125" s="404"/>
      <c r="E125" s="404"/>
      <c r="F125" s="405"/>
      <c r="G125" s="403"/>
      <c r="H125" s="404"/>
      <c r="I125" s="404"/>
      <c r="J125" s="404"/>
      <c r="K125" s="405"/>
      <c r="L125" s="423"/>
      <c r="M125" s="424"/>
      <c r="N125" s="424"/>
      <c r="O125" s="424"/>
      <c r="P125" s="425"/>
    </row>
    <row r="126" spans="1:26" ht="22.5" customHeight="1" thickBot="1" x14ac:dyDescent="0.3">
      <c r="A126" s="5"/>
      <c r="B126" s="403"/>
      <c r="C126" s="404"/>
      <c r="D126" s="404"/>
      <c r="E126" s="404"/>
      <c r="F126" s="405"/>
      <c r="G126" s="403"/>
      <c r="H126" s="404"/>
      <c r="I126" s="404"/>
      <c r="J126" s="404"/>
      <c r="K126" s="405"/>
      <c r="L126" s="426" t="s">
        <v>36</v>
      </c>
      <c r="M126" s="427"/>
      <c r="N126" s="427"/>
      <c r="O126" s="427"/>
      <c r="P126" s="190">
        <v>6.59</v>
      </c>
    </row>
    <row r="127" spans="1:26" ht="32.25" customHeight="1" thickBot="1" x14ac:dyDescent="0.3">
      <c r="A127" s="5"/>
      <c r="B127" s="406"/>
      <c r="C127" s="407"/>
      <c r="D127" s="407"/>
      <c r="E127" s="407"/>
      <c r="F127" s="408"/>
      <c r="G127" s="406"/>
      <c r="H127" s="407"/>
      <c r="I127" s="407"/>
      <c r="J127" s="407"/>
      <c r="K127" s="408"/>
      <c r="L127" s="428" t="s">
        <v>52</v>
      </c>
      <c r="M127" s="429"/>
      <c r="N127" s="429"/>
      <c r="O127" s="429"/>
      <c r="P127" s="190">
        <v>0.2152</v>
      </c>
    </row>
    <row r="128" spans="1:26" ht="15.75" thickBot="1" x14ac:dyDescent="0.3">
      <c r="A128" s="7"/>
      <c r="B128" s="580"/>
      <c r="C128" s="580"/>
      <c r="D128" s="580"/>
      <c r="E128" s="580"/>
      <c r="F128" s="580"/>
      <c r="G128" s="580"/>
      <c r="H128" s="580"/>
      <c r="I128" s="580"/>
      <c r="J128" s="580"/>
      <c r="K128" s="580"/>
      <c r="L128" s="580"/>
      <c r="M128" s="580"/>
      <c r="N128" s="580"/>
      <c r="O128" s="580"/>
      <c r="P128" s="581"/>
    </row>
    <row r="129" spans="1:16" ht="15.75" thickBot="1" x14ac:dyDescent="0.3">
      <c r="A129" s="390" t="s">
        <v>37</v>
      </c>
      <c r="B129" s="391"/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2"/>
    </row>
    <row r="130" spans="1:16" ht="159" customHeight="1" thickBot="1" x14ac:dyDescent="0.3">
      <c r="A130" s="4"/>
      <c r="B130" s="393"/>
      <c r="C130" s="394"/>
      <c r="D130" s="394"/>
      <c r="E130" s="394"/>
      <c r="F130" s="395"/>
      <c r="G130" s="582"/>
      <c r="H130" s="583"/>
      <c r="I130" s="583"/>
      <c r="J130" s="583"/>
      <c r="K130" s="583"/>
      <c r="L130" s="583"/>
      <c r="M130" s="583"/>
      <c r="N130" s="583"/>
      <c r="O130" s="583"/>
      <c r="P130" s="584"/>
    </row>
    <row r="131" spans="1:16" ht="21.75" customHeight="1" thickBot="1" x14ac:dyDescent="0.3">
      <c r="A131" s="4"/>
      <c r="B131" s="576" t="s">
        <v>144</v>
      </c>
      <c r="C131" s="577"/>
      <c r="D131" s="577"/>
      <c r="E131" s="577"/>
      <c r="F131" s="578"/>
      <c r="G131" s="397" t="s">
        <v>145</v>
      </c>
      <c r="H131" s="398"/>
      <c r="I131" s="398"/>
      <c r="J131" s="398"/>
      <c r="K131" s="398"/>
      <c r="L131" s="398"/>
      <c r="M131" s="398"/>
      <c r="N131" s="398"/>
      <c r="O131" s="398"/>
      <c r="P131" s="399"/>
    </row>
    <row r="132" spans="1:16" s="9" customFormat="1" ht="16.899999999999999" customHeight="1" thickBot="1" x14ac:dyDescent="0.3">
      <c r="A132" s="8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5"/>
    </row>
    <row r="133" spans="1:16" s="3" customFormat="1" ht="15.75" customHeight="1" thickBot="1" x14ac:dyDescent="0.25">
      <c r="A133" s="386" t="s">
        <v>38</v>
      </c>
      <c r="B133" s="387"/>
      <c r="C133" s="387"/>
      <c r="D133" s="387"/>
      <c r="E133" s="387"/>
      <c r="F133" s="387"/>
      <c r="G133" s="387"/>
      <c r="H133" s="387"/>
      <c r="I133" s="387"/>
      <c r="J133" s="387" t="s">
        <v>39</v>
      </c>
      <c r="K133" s="387"/>
      <c r="L133" s="387"/>
      <c r="M133" s="387"/>
      <c r="N133" s="387"/>
      <c r="O133" s="387"/>
      <c r="P133" s="388"/>
    </row>
  </sheetData>
  <mergeCells count="26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94:M98"/>
    <mergeCell ref="N94:N98"/>
    <mergeCell ref="O94:O98"/>
    <mergeCell ref="P94:P98"/>
    <mergeCell ref="B99:B104"/>
    <mergeCell ref="C99:P104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C105:H105"/>
    <mergeCell ref="I105:I106"/>
    <mergeCell ref="K105:P105"/>
    <mergeCell ref="C106:H106"/>
    <mergeCell ref="K106:P106"/>
    <mergeCell ref="B107:B117"/>
    <mergeCell ref="C107:C111"/>
    <mergeCell ref="D107:D111"/>
    <mergeCell ref="E107:E117"/>
    <mergeCell ref="K107:K117"/>
    <mergeCell ref="B118:J119"/>
    <mergeCell ref="O118:O119"/>
    <mergeCell ref="P118:P119"/>
    <mergeCell ref="B120:F120"/>
    <mergeCell ref="G120:K120"/>
    <mergeCell ref="L120:P120"/>
    <mergeCell ref="L107:L117"/>
    <mergeCell ref="M107:M117"/>
    <mergeCell ref="N107:N117"/>
    <mergeCell ref="O107:O117"/>
    <mergeCell ref="P107:P117"/>
    <mergeCell ref="C112:C117"/>
    <mergeCell ref="D112:D117"/>
    <mergeCell ref="B121:F127"/>
    <mergeCell ref="G121:K127"/>
    <mergeCell ref="L121:N121"/>
    <mergeCell ref="O121:P121"/>
    <mergeCell ref="L122:N122"/>
    <mergeCell ref="O122:P122"/>
    <mergeCell ref="L123:P125"/>
    <mergeCell ref="L126:O126"/>
    <mergeCell ref="L127:O127"/>
    <mergeCell ref="B132:P132"/>
    <mergeCell ref="A133:C133"/>
    <mergeCell ref="D133:I133"/>
    <mergeCell ref="J133:K133"/>
    <mergeCell ref="L133:P133"/>
    <mergeCell ref="B128:P128"/>
    <mergeCell ref="A129:P129"/>
    <mergeCell ref="B130:F130"/>
    <mergeCell ref="G130:P130"/>
    <mergeCell ref="B131:F131"/>
    <mergeCell ref="G131:P13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Planta y sección típica</vt:lpstr>
      <vt:lpstr>Aforo 1</vt:lpstr>
      <vt:lpstr>Aforo 2</vt:lpstr>
      <vt:lpstr>Aforo 3</vt:lpstr>
      <vt:lpstr>Aforo 4</vt:lpstr>
      <vt:lpstr>'Aforo 2'!Área_de_impresión</vt:lpstr>
      <vt:lpstr>'Aforo 3'!Área_de_impresión</vt:lpstr>
      <vt:lpstr>'Aforo 4'!Área_de_impresión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2019-05-16T20:32:52Z</dcterms:modified>
</cp:coreProperties>
</file>