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ocumentos\INFORME AFOROS\INFORMACIÓN PAGINA WEB1\"/>
    </mc:Choice>
  </mc:AlternateContent>
  <bookViews>
    <workbookView xWindow="0" yWindow="0" windowWidth="11970" windowHeight="4710" firstSheet="1" activeTab="1"/>
  </bookViews>
  <sheets>
    <sheet name="Planta y sección típica" sheetId="1" r:id="rId1"/>
    <sheet name="Aforo 1" sheetId="49" r:id="rId2"/>
    <sheet name="Aforo 2" sheetId="50" r:id="rId3"/>
    <sheet name="Aforo 3" sheetId="51" r:id="rId4"/>
    <sheet name="Aforo 4" sheetId="52" r:id="rId5"/>
  </sheets>
  <definedNames>
    <definedName name="_xlnm.Print_Area" localSheetId="1">'Aforo 1'!$B$1:$P$138</definedName>
    <definedName name="_xlnm.Print_Area" localSheetId="2">'Aforo 2'!$B$1:$P$113</definedName>
    <definedName name="_xlnm.Print_Area" localSheetId="3">'Aforo 3'!$B$1:$P$168</definedName>
    <definedName name="_xlnm.Print_Area" localSheetId="4">'Aforo 4'!$B$1:$P$128</definedName>
    <definedName name="_xlnm.Print_Titles" localSheetId="1">'Aforo 1'!$16:$17</definedName>
    <definedName name="_xlnm.Print_Titles" localSheetId="2">'Aforo 2'!$16:$17</definedName>
    <definedName name="_xlnm.Print_Titles" localSheetId="3">'Aforo 3'!$16:$17</definedName>
    <definedName name="_xlnm.Print_Titles" localSheetId="4">'Aforo 4'!$16:$17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117" i="52" l="1"/>
  <c r="O116" i="52"/>
  <c r="G111" i="52"/>
  <c r="G107" i="52"/>
  <c r="D107" i="52"/>
  <c r="G105" i="52"/>
  <c r="K102" i="52"/>
  <c r="E102" i="52"/>
  <c r="G110" i="52" s="1"/>
  <c r="D102" i="52"/>
  <c r="B102" i="52"/>
  <c r="G93" i="52"/>
  <c r="G92" i="52"/>
  <c r="G91" i="52"/>
  <c r="G90" i="52"/>
  <c r="K89" i="52"/>
  <c r="G88" i="52"/>
  <c r="G87" i="52"/>
  <c r="G86" i="52"/>
  <c r="G85" i="52"/>
  <c r="K84" i="52"/>
  <c r="G83" i="52"/>
  <c r="G82" i="52"/>
  <c r="G81" i="52"/>
  <c r="G80" i="52"/>
  <c r="K79" i="52"/>
  <c r="G78" i="52"/>
  <c r="G77" i="52"/>
  <c r="G76" i="52"/>
  <c r="G75" i="52"/>
  <c r="K74" i="52"/>
  <c r="G73" i="52"/>
  <c r="G72" i="52"/>
  <c r="G71" i="52"/>
  <c r="G70" i="52"/>
  <c r="K69" i="52"/>
  <c r="G68" i="52"/>
  <c r="G67" i="52"/>
  <c r="G66" i="52"/>
  <c r="G65" i="52"/>
  <c r="G63" i="52"/>
  <c r="G62" i="52"/>
  <c r="G61" i="52"/>
  <c r="G60" i="52"/>
  <c r="K59" i="52"/>
  <c r="G58" i="52"/>
  <c r="G57" i="52"/>
  <c r="G56" i="52"/>
  <c r="G55" i="52"/>
  <c r="K54" i="52"/>
  <c r="G53" i="52"/>
  <c r="G52" i="52"/>
  <c r="G51" i="52"/>
  <c r="G50" i="52"/>
  <c r="K49" i="52"/>
  <c r="G48" i="52"/>
  <c r="G47" i="52"/>
  <c r="G46" i="52"/>
  <c r="G45" i="52"/>
  <c r="K44" i="52"/>
  <c r="G43" i="52"/>
  <c r="G42" i="52"/>
  <c r="G41" i="52"/>
  <c r="G40" i="52"/>
  <c r="K39" i="52"/>
  <c r="G38" i="52"/>
  <c r="G37" i="52"/>
  <c r="G36" i="52"/>
  <c r="G35" i="52"/>
  <c r="K34" i="52"/>
  <c r="G33" i="52"/>
  <c r="G32" i="52"/>
  <c r="G31" i="52"/>
  <c r="G30" i="52"/>
  <c r="K29" i="52"/>
  <c r="G28" i="52"/>
  <c r="G27" i="52"/>
  <c r="G26" i="52"/>
  <c r="G25" i="52"/>
  <c r="K24" i="52"/>
  <c r="G23" i="52"/>
  <c r="G22" i="52"/>
  <c r="G21" i="52"/>
  <c r="G20" i="52"/>
  <c r="K19" i="52"/>
  <c r="C18" i="52"/>
  <c r="C19" i="52" s="1"/>
  <c r="L19" i="52" l="1"/>
  <c r="C24" i="52"/>
  <c r="G103" i="52"/>
  <c r="G109" i="52"/>
  <c r="G106" i="52"/>
  <c r="G108" i="52"/>
  <c r="G112" i="52"/>
  <c r="G104" i="52"/>
  <c r="C29" i="52" l="1"/>
  <c r="L24" i="52"/>
  <c r="M24" i="52" s="1"/>
  <c r="M19" i="52"/>
  <c r="L29" i="52" l="1"/>
  <c r="M29" i="52" s="1"/>
  <c r="C34" i="52"/>
  <c r="C39" i="52" l="1"/>
  <c r="L34" i="52"/>
  <c r="M34" i="52" s="1"/>
  <c r="C44" i="52" l="1"/>
  <c r="L39" i="52"/>
  <c r="M39" i="52" s="1"/>
  <c r="C49" i="52" l="1"/>
  <c r="L44" i="52"/>
  <c r="M44" i="52" s="1"/>
  <c r="L49" i="52" l="1"/>
  <c r="M49" i="52" s="1"/>
  <c r="C54" i="52"/>
  <c r="C59" i="52" l="1"/>
  <c r="L54" i="52"/>
  <c r="M54" i="52" s="1"/>
  <c r="C102" i="52" l="1"/>
  <c r="L59" i="52"/>
  <c r="M59" i="52" s="1"/>
  <c r="C64" i="52"/>
  <c r="C69" i="52" l="1"/>
  <c r="C107" i="52"/>
  <c r="L102" i="52" s="1"/>
  <c r="M102" i="52" l="1"/>
  <c r="L69" i="52"/>
  <c r="M69" i="52" s="1"/>
  <c r="C74" i="52"/>
  <c r="C79" i="52" l="1"/>
  <c r="L74" i="52"/>
  <c r="M74" i="52" s="1"/>
  <c r="C84" i="52" l="1"/>
  <c r="L79" i="52"/>
  <c r="M79" i="52" l="1"/>
  <c r="L84" i="52"/>
  <c r="M84" i="52" s="1"/>
  <c r="C89" i="52"/>
  <c r="L89" i="52" s="1"/>
  <c r="M89" i="52" s="1"/>
  <c r="L113" i="52" l="1"/>
  <c r="N89" i="52"/>
  <c r="N79" i="52"/>
  <c r="M113" i="52"/>
  <c r="K113" i="52" l="1"/>
  <c r="N24" i="52"/>
  <c r="N19" i="52"/>
  <c r="N29" i="52"/>
  <c r="N34" i="52"/>
  <c r="N39" i="52"/>
  <c r="N44" i="52"/>
  <c r="N49" i="52"/>
  <c r="N54" i="52"/>
  <c r="N59" i="52"/>
  <c r="N102" i="52"/>
  <c r="N69" i="52"/>
  <c r="N74" i="52"/>
  <c r="N84" i="52"/>
  <c r="N113" i="52" l="1"/>
  <c r="O157" i="51" l="1"/>
  <c r="O156" i="51"/>
  <c r="G151" i="51"/>
  <c r="G150" i="51"/>
  <c r="G149" i="51"/>
  <c r="G147" i="51"/>
  <c r="D147" i="51"/>
  <c r="G145" i="51"/>
  <c r="G144" i="51"/>
  <c r="G143" i="51"/>
  <c r="K142" i="51"/>
  <c r="E142" i="51"/>
  <c r="G152" i="51" s="1"/>
  <c r="D142" i="51"/>
  <c r="B142" i="51"/>
  <c r="G133" i="51"/>
  <c r="G132" i="51"/>
  <c r="G131" i="51"/>
  <c r="G130" i="51"/>
  <c r="K129" i="51"/>
  <c r="G128" i="51"/>
  <c r="G127" i="51"/>
  <c r="G126" i="51"/>
  <c r="G125" i="51"/>
  <c r="K124" i="51"/>
  <c r="G123" i="51"/>
  <c r="G122" i="51"/>
  <c r="G121" i="51"/>
  <c r="G120" i="51"/>
  <c r="K119" i="51"/>
  <c r="G118" i="51"/>
  <c r="G117" i="51"/>
  <c r="G116" i="51"/>
  <c r="G115" i="51"/>
  <c r="K114" i="51"/>
  <c r="G113" i="51"/>
  <c r="G112" i="51"/>
  <c r="G111" i="51"/>
  <c r="G110" i="51"/>
  <c r="K109" i="51"/>
  <c r="G108" i="51"/>
  <c r="G107" i="51"/>
  <c r="G106" i="51"/>
  <c r="G105" i="51"/>
  <c r="K104" i="51"/>
  <c r="G103" i="51"/>
  <c r="G102" i="51"/>
  <c r="G101" i="51"/>
  <c r="G100" i="51"/>
  <c r="K99" i="51"/>
  <c r="G98" i="51"/>
  <c r="G97" i="51"/>
  <c r="G96" i="51"/>
  <c r="G95" i="51"/>
  <c r="K94" i="51"/>
  <c r="G93" i="51"/>
  <c r="G92" i="51"/>
  <c r="G91" i="51"/>
  <c r="G90" i="51"/>
  <c r="K89" i="51"/>
  <c r="G88" i="51"/>
  <c r="G87" i="51"/>
  <c r="G86" i="51"/>
  <c r="G85" i="51"/>
  <c r="K84" i="51"/>
  <c r="G83" i="51"/>
  <c r="G82" i="51"/>
  <c r="G81" i="51"/>
  <c r="G80" i="51"/>
  <c r="K79" i="51"/>
  <c r="G78" i="51"/>
  <c r="G77" i="51"/>
  <c r="G76" i="51"/>
  <c r="G75" i="51"/>
  <c r="G73" i="51"/>
  <c r="G72" i="51"/>
  <c r="G71" i="51"/>
  <c r="G70" i="51"/>
  <c r="K69" i="51"/>
  <c r="G68" i="51"/>
  <c r="G67" i="51"/>
  <c r="G66" i="51"/>
  <c r="G65" i="51"/>
  <c r="K64" i="51"/>
  <c r="G63" i="51"/>
  <c r="G62" i="51"/>
  <c r="G61" i="51"/>
  <c r="G60" i="51"/>
  <c r="K59" i="51"/>
  <c r="G58" i="51"/>
  <c r="G57" i="51"/>
  <c r="G56" i="51"/>
  <c r="G55" i="51"/>
  <c r="K54" i="51"/>
  <c r="G53" i="51"/>
  <c r="G52" i="51"/>
  <c r="G51" i="51"/>
  <c r="G50" i="51"/>
  <c r="K49" i="51"/>
  <c r="G48" i="51"/>
  <c r="G47" i="51"/>
  <c r="G46" i="51"/>
  <c r="G45" i="51"/>
  <c r="K44" i="51"/>
  <c r="G43" i="51"/>
  <c r="G42" i="51"/>
  <c r="G41" i="51"/>
  <c r="G40" i="51"/>
  <c r="K39" i="51"/>
  <c r="G38" i="51"/>
  <c r="G37" i="51"/>
  <c r="G36" i="51"/>
  <c r="G35" i="51"/>
  <c r="K34" i="51"/>
  <c r="G33" i="51"/>
  <c r="G32" i="51"/>
  <c r="G31" i="51"/>
  <c r="G30" i="51"/>
  <c r="K29" i="51"/>
  <c r="G28" i="51"/>
  <c r="G27" i="51"/>
  <c r="G26" i="51"/>
  <c r="G25" i="51"/>
  <c r="K24" i="51"/>
  <c r="G23" i="51"/>
  <c r="G22" i="51"/>
  <c r="G21" i="51"/>
  <c r="G20" i="51"/>
  <c r="K19" i="51"/>
  <c r="C18" i="51"/>
  <c r="C19" i="51" s="1"/>
  <c r="C24" i="51" l="1"/>
  <c r="L19" i="51"/>
  <c r="M19" i="51" s="1"/>
  <c r="G146" i="51"/>
  <c r="G148" i="51"/>
  <c r="L24" i="51" l="1"/>
  <c r="M24" i="51" s="1"/>
  <c r="C29" i="51"/>
  <c r="L29" i="51" l="1"/>
  <c r="M29" i="51" s="1"/>
  <c r="C34" i="51"/>
  <c r="C39" i="51" l="1"/>
  <c r="L34" i="51"/>
  <c r="M34" i="51" l="1"/>
  <c r="C44" i="51"/>
  <c r="L39" i="51"/>
  <c r="M39" i="51" s="1"/>
  <c r="L44" i="51" l="1"/>
  <c r="M44" i="51" s="1"/>
  <c r="C49" i="51"/>
  <c r="L49" i="51" l="1"/>
  <c r="M49" i="51" s="1"/>
  <c r="C54" i="51"/>
  <c r="C59" i="51" l="1"/>
  <c r="L54" i="51"/>
  <c r="M54" i="51" s="1"/>
  <c r="C64" i="51" l="1"/>
  <c r="L59" i="51"/>
  <c r="M59" i="51" s="1"/>
  <c r="L64" i="51" l="1"/>
  <c r="M64" i="51" s="1"/>
  <c r="C69" i="51"/>
  <c r="C142" i="51" l="1"/>
  <c r="L69" i="51"/>
  <c r="M69" i="51" s="1"/>
  <c r="C74" i="51"/>
  <c r="C79" i="51" l="1"/>
  <c r="C147" i="51"/>
  <c r="L142" i="51" s="1"/>
  <c r="M142" i="51" l="1"/>
  <c r="C84" i="51"/>
  <c r="L79" i="51"/>
  <c r="M79" i="51" s="1"/>
  <c r="L84" i="51" l="1"/>
  <c r="M84" i="51" s="1"/>
  <c r="C89" i="51"/>
  <c r="L89" i="51" l="1"/>
  <c r="C94" i="51"/>
  <c r="C99" i="51" l="1"/>
  <c r="L94" i="51"/>
  <c r="M94" i="51" s="1"/>
  <c r="M89" i="51"/>
  <c r="L99" i="51" l="1"/>
  <c r="C104" i="51"/>
  <c r="M99" i="51" l="1"/>
  <c r="L104" i="51"/>
  <c r="M104" i="51" s="1"/>
  <c r="C109" i="51"/>
  <c r="L109" i="51" l="1"/>
  <c r="M109" i="51" s="1"/>
  <c r="C114" i="51"/>
  <c r="C119" i="51" l="1"/>
  <c r="L114" i="51"/>
  <c r="M114" i="51" s="1"/>
  <c r="C124" i="51" l="1"/>
  <c r="L119" i="51"/>
  <c r="M119" i="51" s="1"/>
  <c r="L124" i="51" l="1"/>
  <c r="M124" i="51" s="1"/>
  <c r="C129" i="51"/>
  <c r="L129" i="51" s="1"/>
  <c r="M129" i="51" l="1"/>
  <c r="L153" i="51"/>
  <c r="M153" i="51" l="1"/>
  <c r="K153" i="51" l="1"/>
  <c r="N19" i="51"/>
  <c r="N24" i="51"/>
  <c r="N29" i="51"/>
  <c r="N34" i="51"/>
  <c r="N39" i="51"/>
  <c r="N44" i="51"/>
  <c r="N49" i="51"/>
  <c r="N54" i="51"/>
  <c r="N59" i="51"/>
  <c r="N64" i="51"/>
  <c r="N69" i="51"/>
  <c r="N142" i="51"/>
  <c r="N79" i="51"/>
  <c r="N84" i="51"/>
  <c r="N89" i="51"/>
  <c r="N94" i="51"/>
  <c r="N104" i="51"/>
  <c r="N99" i="51"/>
  <c r="N109" i="51"/>
  <c r="N114" i="51"/>
  <c r="N119" i="51"/>
  <c r="N124" i="51"/>
  <c r="N129" i="51"/>
  <c r="N153" i="51" l="1"/>
  <c r="O102" i="50" l="1"/>
  <c r="O101" i="50"/>
  <c r="G96" i="50"/>
  <c r="G92" i="50"/>
  <c r="D92" i="50"/>
  <c r="G90" i="50"/>
  <c r="K87" i="50"/>
  <c r="E87" i="50"/>
  <c r="G95" i="50" s="1"/>
  <c r="D87" i="50"/>
  <c r="B87" i="50"/>
  <c r="G78" i="50"/>
  <c r="G77" i="50"/>
  <c r="G76" i="50"/>
  <c r="G75" i="50"/>
  <c r="K74" i="50"/>
  <c r="G73" i="50"/>
  <c r="G72" i="50"/>
  <c r="G71" i="50"/>
  <c r="G70" i="50"/>
  <c r="K69" i="50"/>
  <c r="G68" i="50"/>
  <c r="G67" i="50"/>
  <c r="G66" i="50"/>
  <c r="G65" i="50"/>
  <c r="K64" i="50"/>
  <c r="G63" i="50"/>
  <c r="G62" i="50"/>
  <c r="G61" i="50"/>
  <c r="G60" i="50"/>
  <c r="K59" i="50"/>
  <c r="G58" i="50"/>
  <c r="G57" i="50"/>
  <c r="G56" i="50"/>
  <c r="G55" i="50"/>
  <c r="K54" i="50"/>
  <c r="G53" i="50"/>
  <c r="G52" i="50"/>
  <c r="G51" i="50"/>
  <c r="G50" i="50"/>
  <c r="G48" i="50"/>
  <c r="G47" i="50"/>
  <c r="G46" i="50"/>
  <c r="G45" i="50"/>
  <c r="K44" i="50"/>
  <c r="G43" i="50"/>
  <c r="G42" i="50"/>
  <c r="G41" i="50"/>
  <c r="G40" i="50"/>
  <c r="K39" i="50"/>
  <c r="G38" i="50"/>
  <c r="G37" i="50"/>
  <c r="G36" i="50"/>
  <c r="G35" i="50"/>
  <c r="K34" i="50"/>
  <c r="G33" i="50"/>
  <c r="G32" i="50"/>
  <c r="G31" i="50"/>
  <c r="G30" i="50"/>
  <c r="K29" i="50"/>
  <c r="G28" i="50"/>
  <c r="G27" i="50"/>
  <c r="G26" i="50"/>
  <c r="G25" i="50"/>
  <c r="K24" i="50"/>
  <c r="G23" i="50"/>
  <c r="G22" i="50"/>
  <c r="G21" i="50"/>
  <c r="G20" i="50"/>
  <c r="K19" i="50"/>
  <c r="C18" i="50"/>
  <c r="C19" i="50" s="1"/>
  <c r="C24" i="50" l="1"/>
  <c r="L19" i="50"/>
  <c r="G91" i="50"/>
  <c r="G93" i="50"/>
  <c r="G88" i="50"/>
  <c r="G94" i="50"/>
  <c r="G97" i="50"/>
  <c r="G89" i="50"/>
  <c r="M19" i="50" l="1"/>
  <c r="L24" i="50"/>
  <c r="M24" i="50" s="1"/>
  <c r="C29" i="50"/>
  <c r="L29" i="50" l="1"/>
  <c r="M29" i="50" s="1"/>
  <c r="C34" i="50"/>
  <c r="L34" i="50" l="1"/>
  <c r="C39" i="50"/>
  <c r="C44" i="50" l="1"/>
  <c r="L39" i="50"/>
  <c r="M39" i="50" s="1"/>
  <c r="M34" i="50"/>
  <c r="C87" i="50" l="1"/>
  <c r="L44" i="50"/>
  <c r="C49" i="50"/>
  <c r="C54" i="50" l="1"/>
  <c r="C92" i="50"/>
  <c r="L87" i="50" s="1"/>
  <c r="M87" i="50" s="1"/>
  <c r="M44" i="50"/>
  <c r="L54" i="50" l="1"/>
  <c r="C59" i="50"/>
  <c r="M54" i="50" l="1"/>
  <c r="C64" i="50"/>
  <c r="L59" i="50"/>
  <c r="M59" i="50" s="1"/>
  <c r="L64" i="50" l="1"/>
  <c r="M64" i="50" s="1"/>
  <c r="C69" i="50"/>
  <c r="L69" i="50" l="1"/>
  <c r="M69" i="50" s="1"/>
  <c r="C74" i="50"/>
  <c r="L74" i="50" s="1"/>
  <c r="M74" i="50" l="1"/>
  <c r="L98" i="50"/>
  <c r="M98" i="50" l="1"/>
  <c r="K98" i="50" l="1"/>
  <c r="N24" i="50"/>
  <c r="N19" i="50"/>
  <c r="N29" i="50"/>
  <c r="N34" i="50"/>
  <c r="N39" i="50"/>
  <c r="N87" i="50"/>
  <c r="N44" i="50"/>
  <c r="N59" i="50"/>
  <c r="N54" i="50"/>
  <c r="N64" i="50"/>
  <c r="N69" i="50"/>
  <c r="N74" i="50"/>
  <c r="N98" i="50" l="1"/>
  <c r="O127" i="49" l="1"/>
  <c r="O126" i="49"/>
  <c r="G121" i="49"/>
  <c r="G120" i="49"/>
  <c r="G119" i="49"/>
  <c r="G117" i="49"/>
  <c r="D117" i="49"/>
  <c r="G115" i="49"/>
  <c r="G114" i="49"/>
  <c r="G113" i="49"/>
  <c r="K112" i="49"/>
  <c r="E112" i="49"/>
  <c r="G122" i="49" s="1"/>
  <c r="D112" i="49"/>
  <c r="G103" i="49"/>
  <c r="G102" i="49"/>
  <c r="G101" i="49"/>
  <c r="G100" i="49"/>
  <c r="K99" i="49"/>
  <c r="G98" i="49"/>
  <c r="G97" i="49"/>
  <c r="G96" i="49"/>
  <c r="G95" i="49"/>
  <c r="K94" i="49"/>
  <c r="G93" i="49"/>
  <c r="G92" i="49"/>
  <c r="G91" i="49"/>
  <c r="G90" i="49"/>
  <c r="K89" i="49"/>
  <c r="G88" i="49"/>
  <c r="G87" i="49"/>
  <c r="G86" i="49"/>
  <c r="G85" i="49"/>
  <c r="K84" i="49"/>
  <c r="G83" i="49"/>
  <c r="G82" i="49"/>
  <c r="G81" i="49"/>
  <c r="G80" i="49"/>
  <c r="K79" i="49"/>
  <c r="G78" i="49"/>
  <c r="G77" i="49"/>
  <c r="G76" i="49"/>
  <c r="G75" i="49"/>
  <c r="K74" i="49"/>
  <c r="G73" i="49"/>
  <c r="G72" i="49"/>
  <c r="G71" i="49"/>
  <c r="G70" i="49"/>
  <c r="K69" i="49"/>
  <c r="G68" i="49"/>
  <c r="G67" i="49"/>
  <c r="G66" i="49"/>
  <c r="G65" i="49"/>
  <c r="K64" i="49"/>
  <c r="G63" i="49"/>
  <c r="G62" i="49"/>
  <c r="G61" i="49"/>
  <c r="G60" i="49"/>
  <c r="G58" i="49"/>
  <c r="G57" i="49"/>
  <c r="G56" i="49"/>
  <c r="G55" i="49"/>
  <c r="K54" i="49"/>
  <c r="G53" i="49"/>
  <c r="G52" i="49"/>
  <c r="G51" i="49"/>
  <c r="G50" i="49"/>
  <c r="K49" i="49"/>
  <c r="G48" i="49"/>
  <c r="G47" i="49"/>
  <c r="G46" i="49"/>
  <c r="G45" i="49"/>
  <c r="K44" i="49"/>
  <c r="G43" i="49"/>
  <c r="G42" i="49"/>
  <c r="G41" i="49"/>
  <c r="G40" i="49"/>
  <c r="K39" i="49"/>
  <c r="G38" i="49"/>
  <c r="G37" i="49"/>
  <c r="G36" i="49"/>
  <c r="G35" i="49"/>
  <c r="K34" i="49"/>
  <c r="G33" i="49"/>
  <c r="G32" i="49"/>
  <c r="G31" i="49"/>
  <c r="G30" i="49"/>
  <c r="K29" i="49"/>
  <c r="G28" i="49"/>
  <c r="G27" i="49"/>
  <c r="G26" i="49"/>
  <c r="G25" i="49"/>
  <c r="K24" i="49"/>
  <c r="G23" i="49"/>
  <c r="G22" i="49"/>
  <c r="G21" i="49"/>
  <c r="G20" i="49"/>
  <c r="K19" i="49"/>
  <c r="C18" i="49"/>
  <c r="C19" i="49" s="1"/>
  <c r="L19" i="49" l="1"/>
  <c r="C24" i="49"/>
  <c r="G116" i="49"/>
  <c r="G118" i="49"/>
  <c r="L24" i="49" l="1"/>
  <c r="M24" i="49" s="1"/>
  <c r="C29" i="49"/>
  <c r="M19" i="49"/>
  <c r="L29" i="49" l="1"/>
  <c r="C34" i="49"/>
  <c r="C39" i="49" l="1"/>
  <c r="L34" i="49"/>
  <c r="M34" i="49" s="1"/>
  <c r="M29" i="49"/>
  <c r="C44" i="49" l="1"/>
  <c r="L39" i="49"/>
  <c r="L44" i="49" l="1"/>
  <c r="M44" i="49" s="1"/>
  <c r="C49" i="49"/>
  <c r="M39" i="49"/>
  <c r="L49" i="49" l="1"/>
  <c r="C54" i="49"/>
  <c r="C112" i="49" l="1"/>
  <c r="C59" i="49"/>
  <c r="L54" i="49"/>
  <c r="M54" i="49" s="1"/>
  <c r="M49" i="49"/>
  <c r="C64" i="49" l="1"/>
  <c r="C117" i="49"/>
  <c r="L112" i="49" s="1"/>
  <c r="L64" i="49" l="1"/>
  <c r="M64" i="49" s="1"/>
  <c r="C69" i="49"/>
  <c r="M112" i="49"/>
  <c r="L69" i="49" l="1"/>
  <c r="C74" i="49"/>
  <c r="C79" i="49" l="1"/>
  <c r="L74" i="49"/>
  <c r="M74" i="49" s="1"/>
  <c r="M69" i="49"/>
  <c r="C84" i="49" l="1"/>
  <c r="L79" i="49"/>
  <c r="M79" i="49" l="1"/>
  <c r="L84" i="49"/>
  <c r="M84" i="49" s="1"/>
  <c r="C89" i="49"/>
  <c r="L89" i="49" l="1"/>
  <c r="M89" i="49" s="1"/>
  <c r="C94" i="49"/>
  <c r="L94" i="49" l="1"/>
  <c r="L99" i="49"/>
  <c r="M99" i="49" s="1"/>
  <c r="M94" i="49" l="1"/>
  <c r="L123" i="49"/>
  <c r="M123" i="49" l="1"/>
  <c r="K123" i="49" l="1"/>
  <c r="N24" i="49"/>
  <c r="N19" i="49"/>
  <c r="N29" i="49"/>
  <c r="N34" i="49"/>
  <c r="N39" i="49"/>
  <c r="N44" i="49"/>
  <c r="N54" i="49"/>
  <c r="N49" i="49"/>
  <c r="N112" i="49"/>
  <c r="N64" i="49"/>
  <c r="N69" i="49"/>
  <c r="N74" i="49"/>
  <c r="N79" i="49"/>
  <c r="N84" i="49"/>
  <c r="N89" i="49"/>
  <c r="N99" i="49"/>
  <c r="N94" i="49"/>
  <c r="N123" i="49" l="1"/>
</calcChain>
</file>

<file path=xl/sharedStrings.xml><?xml version="1.0" encoding="utf-8"?>
<sst xmlns="http://schemas.openxmlformats.org/spreadsheetml/2006/main" count="776" uniqueCount="125">
  <si>
    <t>Fecha</t>
  </si>
  <si>
    <t xml:space="preserve">Aforo No. </t>
  </si>
  <si>
    <t>Proyecto</t>
  </si>
  <si>
    <t>Lugar medición</t>
  </si>
  <si>
    <t>Coordenadas:</t>
  </si>
  <si>
    <t>X</t>
  </si>
  <si>
    <t>OTT / MF Pro</t>
  </si>
  <si>
    <t>Datos de inicio del aforo</t>
  </si>
  <si>
    <t>Inicio desde:</t>
  </si>
  <si>
    <t>Margen Izquierda</t>
  </si>
  <si>
    <t>Margen Derecha</t>
  </si>
  <si>
    <t>Hora de inicio</t>
  </si>
  <si>
    <t>Nivel inicial [m]</t>
  </si>
  <si>
    <t>Temperatura del agua ( °C )</t>
  </si>
  <si>
    <t>Ancho sección (w) [m]</t>
  </si>
  <si>
    <t>Hora de finalización</t>
  </si>
  <si>
    <t>Nivel final [m]</t>
  </si>
  <si>
    <t>Hora de medida</t>
  </si>
  <si>
    <t xml:space="preserve">Ancho dovela (b) [m] </t>
  </si>
  <si>
    <t>Nomenclatura</t>
  </si>
  <si>
    <t>Dovela #</t>
  </si>
  <si>
    <t>Abscisa [m]</t>
  </si>
  <si>
    <t>y [m]</t>
  </si>
  <si>
    <t>Bq</t>
  </si>
  <si>
    <t>[m/seg]</t>
  </si>
  <si>
    <t>[m/s]</t>
  </si>
  <si>
    <t>[%]</t>
  </si>
  <si>
    <t>[s]</t>
  </si>
  <si>
    <t>pulg</t>
  </si>
  <si>
    <t>Formulas</t>
  </si>
  <si>
    <t>0.5y</t>
  </si>
  <si>
    <t>Superficial</t>
  </si>
  <si>
    <t xml:space="preserve">Se tomaron muestras de sedimentos en las dovelas #  _____ , _____ , ______ , ______ , _______ </t>
  </si>
  <si>
    <t>Folio</t>
  </si>
  <si>
    <t>Vmedia</t>
  </si>
  <si>
    <t>%</t>
  </si>
  <si>
    <t>Distancia del sensor al nivel del agua (m)</t>
  </si>
  <si>
    <t>REGISTRO FOTOGRÁFICO</t>
  </si>
  <si>
    <t>Realizado por</t>
  </si>
  <si>
    <t>Revisado por</t>
  </si>
  <si>
    <t>VISTA EN PLANTA</t>
  </si>
  <si>
    <t>SECCIÓN TRANSVERSAL</t>
  </si>
  <si>
    <r>
      <t>h</t>
    </r>
    <r>
      <rPr>
        <b/>
        <vertAlign val="subscript"/>
        <sz val="11"/>
        <color theme="1"/>
        <rFont val="Calibri"/>
        <family val="2"/>
        <scheme val="minor"/>
      </rPr>
      <t xml:space="preserve">i      </t>
    </r>
    <r>
      <rPr>
        <b/>
        <sz val="11"/>
        <color theme="1"/>
        <rFont val="Calibri"/>
        <family val="2"/>
        <scheme val="minor"/>
      </rPr>
      <t xml:space="preserve">  [m]</t>
    </r>
  </si>
  <si>
    <r>
      <t>y</t>
    </r>
    <r>
      <rPr>
        <b/>
        <vertAlign val="subscript"/>
        <sz val="11"/>
        <color theme="1"/>
        <rFont val="Calibri"/>
        <family val="2"/>
        <scheme val="minor"/>
      </rPr>
      <t xml:space="preserve">i   </t>
    </r>
    <r>
      <rPr>
        <b/>
        <sz val="11"/>
        <color theme="1"/>
        <rFont val="Calibri"/>
        <family val="2"/>
        <scheme val="minor"/>
      </rPr>
      <t>[m]</t>
    </r>
  </si>
  <si>
    <r>
      <t>V</t>
    </r>
    <r>
      <rPr>
        <b/>
        <vertAlign val="subscript"/>
        <sz val="11"/>
        <color theme="1"/>
        <rFont val="Calibri"/>
        <family val="2"/>
        <scheme val="minor"/>
      </rPr>
      <t>i</t>
    </r>
  </si>
  <si>
    <r>
      <t>A</t>
    </r>
    <r>
      <rPr>
        <b/>
        <vertAlign val="subscript"/>
        <sz val="11"/>
        <color theme="1"/>
        <rFont val="Calibri"/>
        <family val="2"/>
        <scheme val="minor"/>
      </rPr>
      <t>i</t>
    </r>
  </si>
  <si>
    <r>
      <t>Q</t>
    </r>
    <r>
      <rPr>
        <b/>
        <vertAlign val="subscript"/>
        <sz val="11"/>
        <color theme="1"/>
        <rFont val="Calibri"/>
        <family val="2"/>
        <scheme val="minor"/>
      </rPr>
      <t>i</t>
    </r>
  </si>
  <si>
    <r>
      <t>T</t>
    </r>
    <r>
      <rPr>
        <b/>
        <vertAlign val="subscript"/>
        <sz val="11"/>
        <color theme="1"/>
        <rFont val="Calibri"/>
        <family val="2"/>
        <scheme val="minor"/>
      </rPr>
      <t>ll</t>
    </r>
  </si>
  <si>
    <r>
      <t>[m</t>
    </r>
    <r>
      <rPr>
        <b/>
        <vertAlign val="super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]</t>
    </r>
  </si>
  <si>
    <r>
      <t>[m</t>
    </r>
    <r>
      <rPr>
        <b/>
        <vertAlign val="superscript"/>
        <sz val="11"/>
        <color theme="1"/>
        <rFont val="Calibri"/>
        <family val="2"/>
        <scheme val="minor"/>
      </rPr>
      <t>3</t>
    </r>
    <r>
      <rPr>
        <b/>
        <sz val="11"/>
        <color theme="1"/>
        <rFont val="Calibri"/>
        <family val="2"/>
        <scheme val="minor"/>
      </rPr>
      <t>/s]</t>
    </r>
  </si>
  <si>
    <r>
      <t xml:space="preserve">At = </t>
    </r>
    <r>
      <rPr>
        <sz val="10"/>
        <color theme="1"/>
        <rFont val="Calibri"/>
        <family val="2"/>
      </rPr>
      <t>ΣAi</t>
    </r>
  </si>
  <si>
    <r>
      <t xml:space="preserve">Qt = </t>
    </r>
    <r>
      <rPr>
        <sz val="10"/>
        <color theme="1"/>
        <rFont val="Calibri"/>
        <family val="2"/>
      </rPr>
      <t>ΣQi</t>
    </r>
  </si>
  <si>
    <r>
      <t xml:space="preserve">Nivel del agua en el sensor (m) </t>
    </r>
    <r>
      <rPr>
        <vertAlign val="subscript"/>
        <sz val="9"/>
        <color theme="1"/>
        <rFont val="Calibri"/>
        <family val="2"/>
        <scheme val="minor"/>
      </rPr>
      <t>(Dato suministrado por el administrador de la red)</t>
    </r>
  </si>
  <si>
    <t xml:space="preserve">OBSERVACIONES: </t>
  </si>
  <si>
    <t>x</t>
  </si>
  <si>
    <t>m.s.n.m.</t>
  </si>
  <si>
    <t>Equipo</t>
  </si>
  <si>
    <t>Molinete (**)</t>
  </si>
  <si>
    <t xml:space="preserve">Marca/Referencia </t>
  </si>
  <si>
    <t>Ecuación del molinete</t>
  </si>
  <si>
    <t>Hélice #</t>
  </si>
  <si>
    <t>Electromagnético</t>
  </si>
  <si>
    <t>Referencia de medida:</t>
  </si>
  <si>
    <t>Lecho del río</t>
  </si>
  <si>
    <t>Clima</t>
  </si>
  <si>
    <t>Calido</t>
  </si>
  <si>
    <t>Superficie del agua</t>
  </si>
  <si>
    <t>Abscisa: Inicio Dovela # 1 (m)</t>
  </si>
  <si>
    <t xml:space="preserve">        = Velocidad promedio por dovela</t>
  </si>
  <si>
    <t>Rev (**)</t>
  </si>
  <si>
    <t>[Rpm] (**)</t>
  </si>
  <si>
    <t>Fondo</t>
  </si>
  <si>
    <t>0,2y (* 0.8y)</t>
  </si>
  <si>
    <t>0,4y (* 0.6y)</t>
  </si>
  <si>
    <t>0,8y (* 0.2y)</t>
  </si>
  <si>
    <t>Sup</t>
  </si>
  <si>
    <t>Nota 1</t>
  </si>
  <si>
    <t>Nota 3</t>
  </si>
  <si>
    <t xml:space="preserve"> Tomar la velocidad superficial del formato L2 (**)   </t>
  </si>
  <si>
    <t>Nota 2</t>
  </si>
  <si>
    <t xml:space="preserve">Qi&lt;= 0.2Qt. Si no se cumple repetir las medidas </t>
  </si>
  <si>
    <t>Nota 4</t>
  </si>
  <si>
    <t>Para y&lt;0.2 m (**), y&lt;0.125 m (*) medir solo a 0.6y</t>
  </si>
  <si>
    <t>0.1y (* 0,9y)</t>
  </si>
  <si>
    <t>0.2y (* 0,8y)</t>
  </si>
  <si>
    <t>0.3y (* 0,7y)</t>
  </si>
  <si>
    <t>0.4y (* 0,6y)</t>
  </si>
  <si>
    <t>0.6y (* 0,4y)</t>
  </si>
  <si>
    <t>0.7y (* 0,3y)</t>
  </si>
  <si>
    <t>0.8y (* 0,2y)</t>
  </si>
  <si>
    <t>0.9y (* 0,1y)</t>
  </si>
  <si>
    <t>Referencia desde lecho del Río</t>
  </si>
  <si>
    <t>Referencia desde la superficie del agua</t>
  </si>
  <si>
    <t>h Media (m)</t>
  </si>
  <si>
    <t>h Máxima (m)</t>
  </si>
  <si>
    <r>
      <t xml:space="preserve">Tiempo contador </t>
    </r>
    <r>
      <rPr>
        <b/>
        <sz val="10"/>
        <color theme="1"/>
        <rFont val="Calibri"/>
        <family val="2"/>
        <scheme val="minor"/>
      </rPr>
      <t xml:space="preserve">(tc) </t>
    </r>
    <r>
      <rPr>
        <sz val="10"/>
        <color theme="1"/>
        <rFont val="Calibri"/>
        <family val="2"/>
        <scheme val="minor"/>
      </rPr>
      <t>[s]</t>
    </r>
  </si>
  <si>
    <r>
      <rPr>
        <b/>
        <i/>
        <sz val="10"/>
        <rFont val="Calibri"/>
        <family val="2"/>
        <scheme val="minor"/>
      </rPr>
      <t>Vi</t>
    </r>
    <r>
      <rPr>
        <sz val="10"/>
        <rFont val="Calibri"/>
        <family val="2"/>
        <scheme val="minor"/>
      </rPr>
      <t>= Velocidad a cada yi</t>
    </r>
  </si>
  <si>
    <r>
      <rPr>
        <b/>
        <i/>
        <sz val="10"/>
        <rFont val="Calibri"/>
        <family val="2"/>
        <scheme val="minor"/>
      </rPr>
      <t>hi</t>
    </r>
    <r>
      <rPr>
        <sz val="10"/>
        <rFont val="Calibri"/>
        <family val="2"/>
        <scheme val="minor"/>
      </rPr>
      <t>= Profundidad correspondiente a cada abscisa</t>
    </r>
  </si>
  <si>
    <r>
      <rPr>
        <b/>
        <i/>
        <sz val="10"/>
        <rFont val="Calibri"/>
        <family val="2"/>
        <scheme val="minor"/>
      </rPr>
      <t>y</t>
    </r>
    <r>
      <rPr>
        <b/>
        <sz val="10"/>
        <rFont val="Calibri"/>
        <family val="2"/>
        <scheme val="minor"/>
      </rPr>
      <t>=</t>
    </r>
    <r>
      <rPr>
        <sz val="10"/>
        <rFont val="Calibri"/>
        <family val="2"/>
        <scheme val="minor"/>
      </rPr>
      <t xml:space="preserve"> Profundidad en la mitad dovela</t>
    </r>
  </si>
  <si>
    <r>
      <rPr>
        <b/>
        <i/>
        <sz val="10"/>
        <rFont val="Calibri"/>
        <family val="2"/>
        <scheme val="minor"/>
      </rPr>
      <t>Rev</t>
    </r>
    <r>
      <rPr>
        <sz val="10"/>
        <rFont val="Calibri"/>
        <family val="2"/>
        <scheme val="minor"/>
      </rPr>
      <t xml:space="preserve">= # vueltas en </t>
    </r>
    <r>
      <rPr>
        <b/>
        <sz val="10"/>
        <rFont val="Calibri"/>
        <family val="2"/>
        <scheme val="minor"/>
      </rPr>
      <t>tc</t>
    </r>
  </si>
  <si>
    <r>
      <rPr>
        <b/>
        <i/>
        <sz val="10"/>
        <rFont val="Calibri"/>
        <family val="2"/>
        <scheme val="minor"/>
      </rPr>
      <t>Qi</t>
    </r>
    <r>
      <rPr>
        <sz val="10"/>
        <rFont val="Calibri"/>
        <family val="2"/>
        <scheme val="minor"/>
      </rPr>
      <t>= Caudal por dovela</t>
    </r>
  </si>
  <si>
    <r>
      <rPr>
        <b/>
        <i/>
        <sz val="10"/>
        <rFont val="Calibri"/>
        <family val="2"/>
        <scheme val="minor"/>
      </rPr>
      <t>T</t>
    </r>
    <r>
      <rPr>
        <b/>
        <i/>
        <vertAlign val="subscript"/>
        <sz val="10"/>
        <rFont val="Calibri"/>
        <family val="2"/>
        <scheme val="minor"/>
      </rPr>
      <t>ll</t>
    </r>
    <r>
      <rPr>
        <sz val="10"/>
        <rFont val="Calibri"/>
        <family val="2"/>
        <scheme val="minor"/>
      </rPr>
      <t>= Tiempo de llenado-solidos suspendidos</t>
    </r>
  </si>
  <si>
    <r>
      <rPr>
        <b/>
        <i/>
        <sz val="10"/>
        <rFont val="Calibri"/>
        <family val="2"/>
        <scheme val="minor"/>
      </rPr>
      <t>Rpm</t>
    </r>
    <r>
      <rPr>
        <sz val="10"/>
        <rFont val="Calibri"/>
        <family val="2"/>
        <scheme val="minor"/>
      </rPr>
      <t>= Revoluciones por minuto</t>
    </r>
  </si>
  <si>
    <r>
      <rPr>
        <b/>
        <i/>
        <sz val="10"/>
        <rFont val="Calibri"/>
        <family val="2"/>
        <scheme val="minor"/>
      </rPr>
      <t>Ai</t>
    </r>
    <r>
      <rPr>
        <sz val="10"/>
        <rFont val="Calibri"/>
        <family val="2"/>
        <scheme val="minor"/>
      </rPr>
      <t>= Área por dovela</t>
    </r>
  </si>
  <si>
    <r>
      <rPr>
        <b/>
        <i/>
        <sz val="10"/>
        <rFont val="Calibri"/>
        <family val="2"/>
        <scheme val="minor"/>
      </rPr>
      <t>Bq</t>
    </r>
    <r>
      <rPr>
        <sz val="10"/>
        <rFont val="Calibri"/>
        <family val="2"/>
        <scheme val="minor"/>
      </rPr>
      <t xml:space="preserve"> = Boquilla muestreador solidos suspendidos</t>
    </r>
  </si>
  <si>
    <r>
      <rPr>
        <b/>
        <sz val="10"/>
        <rFont val="Calibri"/>
        <family val="2"/>
        <scheme val="minor"/>
      </rPr>
      <t>Tll</t>
    </r>
    <r>
      <rPr>
        <sz val="10"/>
        <rFont val="Calibri"/>
        <family val="2"/>
        <scheme val="minor"/>
      </rPr>
      <t xml:space="preserve"> es a partir de la curva "Sampling Volume 690 CC" ingresando         en [ft/s]  </t>
    </r>
  </si>
  <si>
    <t>CARLOS COCUY</t>
  </si>
  <si>
    <t xml:space="preserve">TOME DE TEMPERATURA </t>
  </si>
  <si>
    <t xml:space="preserve"> SECCION DE AFORO</t>
  </si>
  <si>
    <t>Q. MARMATO - CHEC</t>
  </si>
  <si>
    <t>N 5° 3' 3.68"</t>
  </si>
  <si>
    <t>W 75° 31' 5.08"</t>
  </si>
  <si>
    <t>MARIA DEL CARMEN RAMÍREZ ARBELÁEZ</t>
  </si>
  <si>
    <t>Cálido</t>
  </si>
  <si>
    <t>El agua se encuentra muy contaminada, constantemente bajan por el cauce espumas.</t>
  </si>
  <si>
    <t>Detalle medida temperatura</t>
  </si>
  <si>
    <t>Organizando la sección de aforo</t>
  </si>
  <si>
    <t>Detalle del aforo</t>
  </si>
  <si>
    <t>CAROS COCUY</t>
  </si>
  <si>
    <t>Organizando sección de aforo</t>
  </si>
  <si>
    <t>Medida de la temperatura</t>
  </si>
  <si>
    <t>QUEBRADA MARMATO</t>
  </si>
  <si>
    <t>CALIDO</t>
  </si>
  <si>
    <t>Formato L1.2: Medición de caudal por el método área-velocidad: medidas desde la superficie del agua con medidor electromagnético</t>
  </si>
  <si>
    <t>Convenio 221/2016 OPERACIÓN Y MANTENIMIENTO REDES HIDROMETEROLÓGICAS, SÍSMICAS Y DE CALIDAD DEL AIRE DEL DEPARTAMENTO DE CALDAS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</si>
</sst>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00"/>
    <numFmt numFmtId="165" formatCode="0.0"/>
    <numFmt numFmtId="166" formatCode="0.0000"/>
    <numFmt numFmtId="167" formatCode="_(&quot;$&quot;\ * #,##0.00_);_(&quot;$&quot;\ * \(#,##0.00\);_(&quot;$&quot;\ * &quot;-&quot;??_);_(@_)"/>
  </numFmts>
  <fonts count="2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vertAlign val="subscript"/>
      <sz val="11"/>
      <color theme="1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sz val="10"/>
      <color theme="1"/>
      <name val="Calibri"/>
      <family val="2"/>
    </font>
    <font>
      <vertAlign val="subscript"/>
      <sz val="9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alibri"/>
      <family val="2"/>
    </font>
    <font>
      <b/>
      <i/>
      <sz val="12"/>
      <color rgb="FF000000"/>
      <name val="Calibri"/>
      <family val="2"/>
    </font>
    <font>
      <sz val="11"/>
      <name val="Calibri"/>
      <family val="2"/>
    </font>
    <font>
      <b/>
      <sz val="12"/>
      <color rgb="FF000000"/>
      <name val="Calibri"/>
      <family val="2"/>
    </font>
    <font>
      <sz val="12"/>
      <name val="Calibri"/>
      <family val="2"/>
    </font>
    <font>
      <b/>
      <sz val="12"/>
      <name val="Calibri"/>
      <family val="2"/>
    </font>
    <font>
      <b/>
      <sz val="11"/>
      <color rgb="FF000000"/>
      <name val="Calibri"/>
      <family val="2"/>
    </font>
    <font>
      <sz val="12"/>
      <color rgb="FF000000"/>
      <name val="Calibri"/>
      <family val="2"/>
    </font>
    <font>
      <sz val="10"/>
      <color rgb="FF000000"/>
      <name val="Calibri"/>
      <family val="2"/>
    </font>
    <font>
      <i/>
      <u/>
      <sz val="11"/>
      <color rgb="FF000000"/>
      <name val="Calibri"/>
      <family val="2"/>
    </font>
    <font>
      <sz val="11"/>
      <color rgb="FFFF0000"/>
      <name val="Calibri"/>
      <family val="2"/>
    </font>
    <font>
      <b/>
      <i/>
      <sz val="10"/>
      <name val="Calibri"/>
      <family val="2"/>
      <scheme val="minor"/>
    </font>
    <font>
      <b/>
      <i/>
      <vertAlign val="subscript"/>
      <sz val="1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i/>
      <sz val="8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rgb="FFEEECE1"/>
      </patternFill>
    </fill>
    <fill>
      <patternFill patternType="solid">
        <fgColor rgb="FFBFBFBF"/>
        <bgColor rgb="FFBFBFBF"/>
      </patternFill>
    </fill>
    <fill>
      <patternFill patternType="solid">
        <fgColor rgb="FFFFFFFF"/>
        <bgColor rgb="FFFFFFFF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rgb="FFEEECE1"/>
      </patternFill>
    </fill>
    <fill>
      <patternFill patternType="solid">
        <fgColor theme="0" tint="-0.14999847407452621"/>
        <bgColor rgb="FFBFBFBF"/>
      </patternFill>
    </fill>
    <fill>
      <patternFill patternType="solid">
        <fgColor theme="0" tint="-0.14999847407452621"/>
        <bgColor rgb="FFE5B8B7"/>
      </patternFill>
    </fill>
    <fill>
      <patternFill patternType="solid">
        <fgColor theme="0" tint="-0.249977111117893"/>
        <bgColor rgb="FFD8D8D8"/>
      </patternFill>
    </fill>
    <fill>
      <patternFill patternType="solid">
        <fgColor theme="6" tint="0.59999389629810485"/>
        <bgColor indexed="64"/>
      </patternFill>
    </fill>
  </fills>
  <borders count="130">
    <border>
      <left/>
      <right/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indexed="64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3">
    <xf numFmtId="0" fontId="0" fillId="0" borderId="0"/>
    <xf numFmtId="0" fontId="2" fillId="0" borderId="0"/>
    <xf numFmtId="167" fontId="11" fillId="0" borderId="0" applyFont="0" applyFill="0" applyBorder="0" applyAlignment="0" applyProtection="0"/>
  </cellStyleXfs>
  <cellXfs count="330">
    <xf numFmtId="0" fontId="0" fillId="0" borderId="0" xfId="0"/>
    <xf numFmtId="0" fontId="0" fillId="0" borderId="0" xfId="0" applyAlignment="1"/>
    <xf numFmtId="0" fontId="0" fillId="0" borderId="0" xfId="0" applyFont="1"/>
    <xf numFmtId="0" fontId="3" fillId="0" borderId="0" xfId="0" applyFont="1"/>
    <xf numFmtId="0" fontId="1" fillId="0" borderId="25" xfId="0" applyFont="1" applyFill="1" applyBorder="1" applyAlignment="1"/>
    <xf numFmtId="0" fontId="0" fillId="0" borderId="32" xfId="0" applyBorder="1"/>
    <xf numFmtId="0" fontId="0" fillId="0" borderId="32" xfId="0" applyBorder="1" applyAlignment="1">
      <alignment horizontal="center"/>
    </xf>
    <xf numFmtId="0" fontId="0" fillId="0" borderId="0" xfId="0" applyBorder="1"/>
    <xf numFmtId="0" fontId="0" fillId="0" borderId="9" xfId="0" applyBorder="1" applyAlignment="1">
      <alignment vertical="center"/>
    </xf>
    <xf numFmtId="0" fontId="0" fillId="0" borderId="0" xfId="0" applyAlignment="1">
      <alignment vertical="center"/>
    </xf>
    <xf numFmtId="0" fontId="0" fillId="0" borderId="32" xfId="0" applyBorder="1" applyAlignment="1"/>
    <xf numFmtId="0" fontId="3" fillId="0" borderId="32" xfId="0" applyFont="1" applyBorder="1"/>
    <xf numFmtId="164" fontId="5" fillId="0" borderId="36" xfId="0" applyNumberFormat="1" applyFont="1" applyBorder="1" applyAlignment="1">
      <alignment horizontal="center"/>
    </xf>
    <xf numFmtId="2" fontId="3" fillId="0" borderId="0" xfId="0" applyNumberFormat="1" applyFont="1" applyBorder="1" applyAlignment="1">
      <alignment horizontal="center"/>
    </xf>
    <xf numFmtId="0" fontId="3" fillId="0" borderId="16" xfId="0" applyFont="1" applyBorder="1" applyAlignment="1">
      <alignment horizontal="center" vertical="top"/>
    </xf>
    <xf numFmtId="166" fontId="5" fillId="0" borderId="36" xfId="0" applyNumberFormat="1" applyFont="1" applyBorder="1" applyAlignment="1">
      <alignment horizontal="center" vertical="center"/>
    </xf>
    <xf numFmtId="164" fontId="5" fillId="0" borderId="36" xfId="0" applyNumberFormat="1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43" xfId="0" applyFont="1" applyBorder="1"/>
    <xf numFmtId="0" fontId="0" fillId="0" borderId="0" xfId="0" applyFont="1" applyAlignment="1"/>
    <xf numFmtId="0" fontId="2" fillId="0" borderId="43" xfId="0" applyFont="1" applyBorder="1"/>
    <xf numFmtId="0" fontId="2" fillId="0" borderId="50" xfId="0" applyFont="1" applyBorder="1" applyAlignment="1">
      <alignment horizontal="center" vertical="center"/>
    </xf>
    <xf numFmtId="0" fontId="2" fillId="0" borderId="50" xfId="0" applyFont="1" applyBorder="1" applyAlignment="1">
      <alignment vertical="center"/>
    </xf>
    <xf numFmtId="0" fontId="15" fillId="5" borderId="53" xfId="0" applyFont="1" applyFill="1" applyBorder="1" applyAlignment="1">
      <alignment horizontal="center" vertical="center"/>
    </xf>
    <xf numFmtId="0" fontId="2" fillId="0" borderId="52" xfId="0" applyFont="1" applyBorder="1" applyAlignment="1">
      <alignment vertical="center"/>
    </xf>
    <xf numFmtId="0" fontId="2" fillId="0" borderId="0" xfId="0" applyFont="1"/>
    <xf numFmtId="0" fontId="2" fillId="0" borderId="0" xfId="0" applyFont="1" applyAlignment="1"/>
    <xf numFmtId="0" fontId="2" fillId="0" borderId="43" xfId="0" applyFont="1" applyFill="1" applyBorder="1" applyAlignment="1">
      <alignment vertical="center"/>
    </xf>
    <xf numFmtId="0" fontId="2" fillId="0" borderId="44" xfId="0" applyFont="1" applyFill="1" applyBorder="1" applyAlignment="1">
      <alignment horizontal="center" vertical="center"/>
    </xf>
    <xf numFmtId="0" fontId="2" fillId="0" borderId="50" xfId="0" applyFont="1" applyFill="1" applyBorder="1" applyAlignment="1">
      <alignment vertical="center"/>
    </xf>
    <xf numFmtId="0" fontId="15" fillId="0" borderId="53" xfId="0" applyFont="1" applyFill="1" applyBorder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19" fillId="0" borderId="60" xfId="0" applyFont="1" applyFill="1" applyBorder="1" applyAlignment="1">
      <alignment horizontal="center" vertical="center"/>
    </xf>
    <xf numFmtId="0" fontId="2" fillId="0" borderId="66" xfId="0" applyFont="1" applyFill="1" applyBorder="1" applyAlignment="1">
      <alignment horizontal="center" vertical="center"/>
    </xf>
    <xf numFmtId="0" fontId="15" fillId="0" borderId="69" xfId="0" applyFont="1" applyFill="1" applyBorder="1" applyAlignment="1">
      <alignment horizontal="center" vertical="center"/>
    </xf>
    <xf numFmtId="0" fontId="19" fillId="0" borderId="76" xfId="0" applyFont="1" applyFill="1" applyBorder="1" applyAlignment="1">
      <alignment vertical="top" wrapText="1"/>
    </xf>
    <xf numFmtId="0" fontId="19" fillId="0" borderId="60" xfId="0" applyFont="1" applyFill="1" applyBorder="1" applyAlignment="1">
      <alignment horizontal="center" vertical="top" wrapText="1"/>
    </xf>
    <xf numFmtId="0" fontId="19" fillId="0" borderId="79" xfId="0" applyFont="1" applyFill="1" applyBorder="1" applyAlignment="1">
      <alignment horizontal="center"/>
    </xf>
    <xf numFmtId="0" fontId="15" fillId="0" borderId="69" xfId="0" applyFont="1" applyFill="1" applyBorder="1" applyAlignment="1">
      <alignment horizontal="center" vertical="top" wrapText="1"/>
    </xf>
    <xf numFmtId="0" fontId="15" fillId="0" borderId="86" xfId="0" applyFont="1" applyFill="1" applyBorder="1" applyAlignment="1">
      <alignment horizontal="center" vertical="center" wrapText="1"/>
    </xf>
    <xf numFmtId="20" fontId="15" fillId="0" borderId="89" xfId="0" applyNumberFormat="1" applyFont="1" applyFill="1" applyBorder="1" applyAlignment="1">
      <alignment horizontal="center" vertical="top"/>
    </xf>
    <xf numFmtId="0" fontId="15" fillId="0" borderId="90" xfId="0" applyFont="1" applyFill="1" applyBorder="1" applyAlignment="1">
      <alignment horizontal="center" vertical="top"/>
    </xf>
    <xf numFmtId="0" fontId="15" fillId="0" borderId="79" xfId="0" applyFont="1" applyFill="1" applyBorder="1" applyAlignment="1">
      <alignment horizontal="center" vertical="center"/>
    </xf>
    <xf numFmtId="0" fontId="15" fillId="0" borderId="93" xfId="0" applyFont="1" applyFill="1" applyBorder="1" applyAlignment="1">
      <alignment horizontal="center" vertical="center"/>
    </xf>
    <xf numFmtId="0" fontId="22" fillId="7" borderId="0" xfId="0" applyFont="1" applyFill="1" applyBorder="1" applyAlignment="1">
      <alignment horizontal="left" vertical="center" wrapText="1"/>
    </xf>
    <xf numFmtId="0" fontId="18" fillId="6" borderId="82" xfId="0" applyFont="1" applyFill="1" applyBorder="1" applyAlignment="1">
      <alignment horizontal="center" vertical="center"/>
    </xf>
    <xf numFmtId="0" fontId="18" fillId="6" borderId="99" xfId="0" applyFont="1" applyFill="1" applyBorder="1" applyAlignment="1">
      <alignment vertical="center"/>
    </xf>
    <xf numFmtId="0" fontId="18" fillId="6" borderId="99" xfId="0" applyFont="1" applyFill="1" applyBorder="1" applyAlignment="1">
      <alignment horizontal="center" vertical="center"/>
    </xf>
    <xf numFmtId="0" fontId="18" fillId="6" borderId="60" xfId="0" applyFont="1" applyFill="1" applyBorder="1" applyAlignment="1">
      <alignment horizontal="center" vertical="center"/>
    </xf>
    <xf numFmtId="0" fontId="2" fillId="0" borderId="93" xfId="0" applyFont="1" applyBorder="1"/>
    <xf numFmtId="0" fontId="18" fillId="6" borderId="93" xfId="0" applyFont="1" applyFill="1" applyBorder="1" applyAlignment="1">
      <alignment vertical="center"/>
    </xf>
    <xf numFmtId="0" fontId="18" fillId="6" borderId="102" xfId="0" applyFont="1" applyFill="1" applyBorder="1" applyAlignment="1">
      <alignment horizontal="center" vertical="center"/>
    </xf>
    <xf numFmtId="0" fontId="18" fillId="6" borderId="89" xfId="0" applyFont="1" applyFill="1" applyBorder="1" applyAlignment="1">
      <alignment horizontal="center" vertical="center"/>
    </xf>
    <xf numFmtId="0" fontId="20" fillId="0" borderId="0" xfId="0" applyFont="1" applyFill="1"/>
    <xf numFmtId="0" fontId="18" fillId="0" borderId="81" xfId="0" applyFont="1" applyFill="1" applyBorder="1" applyAlignment="1">
      <alignment horizontal="center" vertical="center" wrapText="1"/>
    </xf>
    <xf numFmtId="0" fontId="2" fillId="0" borderId="97" xfId="0" applyFont="1" applyFill="1" applyBorder="1" applyAlignment="1">
      <alignment horizontal="center" vertical="center" wrapText="1"/>
    </xf>
    <xf numFmtId="0" fontId="18" fillId="0" borderId="97" xfId="0" applyFont="1" applyFill="1" applyBorder="1" applyAlignment="1">
      <alignment horizontal="center" vertical="center"/>
    </xf>
    <xf numFmtId="0" fontId="12" fillId="0" borderId="97" xfId="0" applyFont="1" applyFill="1" applyBorder="1" applyAlignment="1">
      <alignment horizontal="center"/>
    </xf>
    <xf numFmtId="2" fontId="14" fillId="0" borderId="97" xfId="0" applyNumberFormat="1" applyFont="1" applyFill="1" applyBorder="1" applyAlignment="1">
      <alignment vertical="center"/>
    </xf>
    <xf numFmtId="164" fontId="14" fillId="0" borderId="97" xfId="0" applyNumberFormat="1" applyFont="1" applyFill="1" applyBorder="1" applyAlignment="1">
      <alignment vertical="center"/>
    </xf>
    <xf numFmtId="0" fontId="18" fillId="0" borderId="103" xfId="0" applyFont="1" applyFill="1" applyBorder="1" applyAlignment="1">
      <alignment horizontal="center" vertical="center"/>
    </xf>
    <xf numFmtId="0" fontId="0" fillId="0" borderId="0" xfId="0" applyFont="1" applyFill="1" applyAlignment="1"/>
    <xf numFmtId="2" fontId="14" fillId="0" borderId="97" xfId="0" applyNumberFormat="1" applyFont="1" applyFill="1" applyBorder="1" applyAlignment="1">
      <alignment horizontal="center" vertical="center"/>
    </xf>
    <xf numFmtId="164" fontId="14" fillId="0" borderId="97" xfId="0" applyNumberFormat="1" applyFont="1" applyFill="1" applyBorder="1" applyAlignment="1">
      <alignment horizontal="center" vertical="center"/>
    </xf>
    <xf numFmtId="0" fontId="12" fillId="0" borderId="99" xfId="0" applyFont="1" applyFill="1" applyBorder="1" applyAlignment="1">
      <alignment horizontal="center"/>
    </xf>
    <xf numFmtId="2" fontId="14" fillId="0" borderId="99" xfId="0" applyNumberFormat="1" applyFont="1" applyFill="1" applyBorder="1" applyAlignment="1">
      <alignment horizontal="center" vertical="center"/>
    </xf>
    <xf numFmtId="2" fontId="14" fillId="0" borderId="99" xfId="0" applyNumberFormat="1" applyFont="1" applyFill="1" applyBorder="1" applyAlignment="1">
      <alignment vertical="center"/>
    </xf>
    <xf numFmtId="0" fontId="2" fillId="0" borderId="99" xfId="0" applyFont="1" applyFill="1" applyBorder="1"/>
    <xf numFmtId="164" fontId="14" fillId="0" borderId="99" xfId="0" applyNumberFormat="1" applyFont="1" applyFill="1" applyBorder="1" applyAlignment="1">
      <alignment horizontal="center" vertical="center"/>
    </xf>
    <xf numFmtId="0" fontId="12" fillId="0" borderId="104" xfId="0" applyFont="1" applyFill="1" applyBorder="1" applyAlignment="1">
      <alignment horizontal="center"/>
    </xf>
    <xf numFmtId="2" fontId="14" fillId="0" borderId="104" xfId="0" applyNumberFormat="1" applyFont="1" applyFill="1" applyBorder="1" applyAlignment="1">
      <alignment horizontal="center" vertical="center"/>
    </xf>
    <xf numFmtId="2" fontId="14" fillId="0" borderId="104" xfId="0" applyNumberFormat="1" applyFont="1" applyFill="1" applyBorder="1" applyAlignment="1">
      <alignment vertical="center"/>
    </xf>
    <xf numFmtId="0" fontId="2" fillId="0" borderId="104" xfId="0" applyFont="1" applyFill="1" applyBorder="1"/>
    <xf numFmtId="164" fontId="14" fillId="0" borderId="104" xfId="0" applyNumberFormat="1" applyFont="1" applyFill="1" applyBorder="1" applyAlignment="1">
      <alignment horizontal="center" vertical="center"/>
    </xf>
    <xf numFmtId="0" fontId="12" fillId="0" borderId="107" xfId="0" applyFont="1" applyFill="1" applyBorder="1" applyAlignment="1">
      <alignment horizontal="center"/>
    </xf>
    <xf numFmtId="2" fontId="14" fillId="0" borderId="107" xfId="0" applyNumberFormat="1" applyFont="1" applyFill="1" applyBorder="1" applyAlignment="1">
      <alignment horizontal="center" vertical="center"/>
    </xf>
    <xf numFmtId="2" fontId="14" fillId="0" borderId="107" xfId="0" applyNumberFormat="1" applyFont="1" applyFill="1" applyBorder="1" applyAlignment="1">
      <alignment vertical="center"/>
    </xf>
    <xf numFmtId="0" fontId="2" fillId="0" borderId="107" xfId="0" applyFont="1" applyFill="1" applyBorder="1"/>
    <xf numFmtId="164" fontId="14" fillId="0" borderId="107" xfId="0" applyNumberFormat="1" applyFont="1" applyFill="1" applyBorder="1" applyAlignment="1">
      <alignment horizontal="center" vertical="center"/>
    </xf>
    <xf numFmtId="0" fontId="3" fillId="0" borderId="9" xfId="0" applyFont="1" applyBorder="1"/>
    <xf numFmtId="0" fontId="4" fillId="8" borderId="27" xfId="0" applyFont="1" applyFill="1" applyBorder="1" applyAlignment="1">
      <alignment vertical="center" wrapText="1"/>
    </xf>
    <xf numFmtId="0" fontId="4" fillId="8" borderId="110" xfId="0" applyFont="1" applyFill="1" applyBorder="1" applyAlignment="1">
      <alignment vertical="center" wrapText="1"/>
    </xf>
    <xf numFmtId="0" fontId="20" fillId="0" borderId="43" xfId="0" applyFont="1" applyBorder="1"/>
    <xf numFmtId="2" fontId="14" fillId="10" borderId="114" xfId="0" applyNumberFormat="1" applyFont="1" applyFill="1" applyBorder="1" applyAlignment="1">
      <alignment horizontal="center" vertical="center"/>
    </xf>
    <xf numFmtId="2" fontId="14" fillId="10" borderId="114" xfId="0" applyNumberFormat="1" applyFont="1" applyFill="1" applyBorder="1" applyAlignment="1">
      <alignment horizontal="center"/>
    </xf>
    <xf numFmtId="164" fontId="2" fillId="10" borderId="114" xfId="0" applyNumberFormat="1" applyFont="1" applyFill="1" applyBorder="1" applyAlignment="1">
      <alignment horizontal="center"/>
    </xf>
    <xf numFmtId="164" fontId="2" fillId="9" borderId="114" xfId="0" applyNumberFormat="1" applyFont="1" applyFill="1" applyBorder="1" applyAlignment="1">
      <alignment horizontal="center"/>
    </xf>
    <xf numFmtId="0" fontId="20" fillId="0" borderId="0" xfId="0" applyFont="1"/>
    <xf numFmtId="0" fontId="14" fillId="10" borderId="104" xfId="0" applyFont="1" applyFill="1" applyBorder="1" applyAlignment="1">
      <alignment horizontal="center"/>
    </xf>
    <xf numFmtId="2" fontId="14" fillId="10" borderId="104" xfId="0" applyNumberFormat="1" applyFont="1" applyFill="1" applyBorder="1" applyAlignment="1">
      <alignment horizontal="center" vertical="center"/>
    </xf>
    <xf numFmtId="2" fontId="14" fillId="10" borderId="104" xfId="0" applyNumberFormat="1" applyFont="1" applyFill="1" applyBorder="1" applyAlignment="1">
      <alignment horizontal="center"/>
    </xf>
    <xf numFmtId="164" fontId="2" fillId="10" borderId="104" xfId="0" applyNumberFormat="1" applyFont="1" applyFill="1" applyBorder="1" applyAlignment="1">
      <alignment horizontal="center"/>
    </xf>
    <xf numFmtId="164" fontId="2" fillId="9" borderId="104" xfId="0" applyNumberFormat="1" applyFont="1" applyFill="1" applyBorder="1" applyAlignment="1">
      <alignment horizontal="center"/>
    </xf>
    <xf numFmtId="2" fontId="14" fillId="10" borderId="121" xfId="0" applyNumberFormat="1" applyFont="1" applyFill="1" applyBorder="1" applyAlignment="1">
      <alignment horizontal="center" vertical="center"/>
    </xf>
    <xf numFmtId="2" fontId="14" fillId="10" borderId="121" xfId="0" applyNumberFormat="1" applyFont="1" applyFill="1" applyBorder="1" applyAlignment="1">
      <alignment horizontal="center"/>
    </xf>
    <xf numFmtId="164" fontId="2" fillId="10" borderId="121" xfId="0" applyNumberFormat="1" applyFont="1" applyFill="1" applyBorder="1" applyAlignment="1">
      <alignment horizontal="center"/>
    </xf>
    <xf numFmtId="164" fontId="2" fillId="11" borderId="121" xfId="0" applyNumberFormat="1" applyFont="1" applyFill="1" applyBorder="1" applyAlignment="1">
      <alignment horizontal="center"/>
    </xf>
    <xf numFmtId="164" fontId="18" fillId="5" borderId="125" xfId="0" applyNumberFormat="1" applyFont="1" applyFill="1" applyBorder="1" applyAlignment="1">
      <alignment horizontal="center" vertical="center"/>
    </xf>
    <xf numFmtId="0" fontId="17" fillId="0" borderId="90" xfId="0" applyFont="1" applyFill="1" applyBorder="1" applyAlignment="1">
      <alignment horizontal="center" vertical="top"/>
    </xf>
    <xf numFmtId="0" fontId="0" fillId="0" borderId="0" xfId="0" applyFill="1"/>
    <xf numFmtId="0" fontId="1" fillId="0" borderId="17" xfId="0" applyFont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18" xfId="0" applyFill="1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22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9" xfId="0" applyFill="1" applyBorder="1" applyAlignment="1">
      <alignment horizontal="center"/>
    </xf>
    <xf numFmtId="0" fontId="0" fillId="2" borderId="24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3" fillId="0" borderId="27" xfId="0" applyFont="1" applyBorder="1" applyAlignment="1">
      <alignment horizontal="center"/>
    </xf>
    <xf numFmtId="0" fontId="3" fillId="0" borderId="28" xfId="0" applyFont="1" applyBorder="1" applyAlignment="1">
      <alignment horizontal="center"/>
    </xf>
    <xf numFmtId="0" fontId="3" fillId="0" borderId="29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1" fillId="4" borderId="9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1" fillId="0" borderId="9" xfId="0" applyFont="1" applyFill="1" applyBorder="1" applyAlignment="1">
      <alignment horizontal="center"/>
    </xf>
    <xf numFmtId="0" fontId="1" fillId="0" borderId="41" xfId="0" applyFont="1" applyFill="1" applyBorder="1" applyAlignment="1">
      <alignment horizontal="center"/>
    </xf>
    <xf numFmtId="0" fontId="1" fillId="0" borderId="42" xfId="0" applyFont="1" applyFill="1" applyBorder="1" applyAlignment="1">
      <alignment horizontal="center"/>
    </xf>
    <xf numFmtId="0" fontId="1" fillId="0" borderId="13" xfId="0" applyFont="1" applyFill="1" applyBorder="1" applyAlignment="1">
      <alignment horizontal="center"/>
    </xf>
    <xf numFmtId="0" fontId="1" fillId="0" borderId="16" xfId="0" applyFont="1" applyFill="1" applyBorder="1" applyAlignment="1">
      <alignment horizontal="center"/>
    </xf>
    <xf numFmtId="0" fontId="1" fillId="0" borderId="34" xfId="0" applyFont="1" applyFill="1" applyBorder="1" applyAlignment="1">
      <alignment horizontal="center"/>
    </xf>
    <xf numFmtId="0" fontId="1" fillId="0" borderId="14" xfId="0" applyFont="1" applyFill="1" applyBorder="1" applyAlignment="1">
      <alignment horizontal="center"/>
    </xf>
    <xf numFmtId="0" fontId="1" fillId="0" borderId="123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124" xfId="0" applyFont="1" applyBorder="1" applyAlignment="1">
      <alignment horizontal="center"/>
    </xf>
    <xf numFmtId="0" fontId="1" fillId="0" borderId="26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25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4" fillId="4" borderId="11" xfId="0" applyFont="1" applyFill="1" applyBorder="1" applyAlignment="1">
      <alignment horizontal="center" wrapText="1"/>
    </xf>
    <xf numFmtId="0" fontId="14" fillId="4" borderId="15" xfId="0" applyFont="1" applyFill="1" applyBorder="1" applyAlignment="1">
      <alignment horizontal="center" wrapText="1"/>
    </xf>
    <xf numFmtId="164" fontId="14" fillId="13" borderId="15" xfId="0" applyNumberFormat="1" applyFont="1" applyFill="1" applyBorder="1" applyAlignment="1">
      <alignment horizontal="center"/>
    </xf>
    <xf numFmtId="164" fontId="14" fillId="13" borderId="12" xfId="0" applyNumberFormat="1" applyFont="1" applyFill="1" applyBorder="1" applyAlignment="1">
      <alignment horizontal="center"/>
    </xf>
    <xf numFmtId="0" fontId="14" fillId="4" borderId="13" xfId="0" applyFont="1" applyFill="1" applyBorder="1" applyAlignment="1">
      <alignment horizontal="center" wrapText="1"/>
    </xf>
    <xf numFmtId="0" fontId="14" fillId="4" borderId="16" xfId="0" applyFont="1" applyFill="1" applyBorder="1" applyAlignment="1">
      <alignment horizontal="center" wrapText="1"/>
    </xf>
    <xf numFmtId="0" fontId="14" fillId="13" borderId="16" xfId="0" applyFont="1" applyFill="1" applyBorder="1" applyAlignment="1">
      <alignment horizontal="center"/>
    </xf>
    <xf numFmtId="0" fontId="14" fillId="13" borderId="14" xfId="0" applyFont="1" applyFill="1" applyBorder="1" applyAlignment="1">
      <alignment horizontal="center"/>
    </xf>
    <xf numFmtId="0" fontId="0" fillId="0" borderId="123" xfId="0" applyBorder="1" applyAlignment="1">
      <alignment horizontal="center" vertical="center" wrapText="1"/>
    </xf>
    <xf numFmtId="0" fontId="0" fillId="0" borderId="18" xfId="0" applyFont="1" applyBorder="1" applyAlignment="1">
      <alignment horizontal="center" vertical="center" wrapText="1"/>
    </xf>
    <xf numFmtId="0" fontId="0" fillId="0" borderId="124" xfId="0" applyFont="1" applyBorder="1" applyAlignment="1">
      <alignment horizontal="center" vertical="center" wrapText="1"/>
    </xf>
    <xf numFmtId="0" fontId="0" fillId="0" borderId="26" xfId="0" applyFont="1" applyBorder="1" applyAlignment="1">
      <alignment horizontal="center" vertical="center" wrapText="1"/>
    </xf>
    <xf numFmtId="0" fontId="0" fillId="0" borderId="0" xfId="0" applyFont="1" applyBorder="1" applyAlignment="1">
      <alignment horizontal="center" vertical="center" wrapText="1"/>
    </xf>
    <xf numFmtId="0" fontId="0" fillId="0" borderId="5" xfId="0" applyFont="1" applyBorder="1" applyAlignment="1">
      <alignment horizontal="center" vertical="center" wrapText="1"/>
    </xf>
    <xf numFmtId="0" fontId="0" fillId="0" borderId="25" xfId="0" applyFont="1" applyBorder="1" applyAlignment="1">
      <alignment horizontal="center" vertical="center" wrapText="1"/>
    </xf>
    <xf numFmtId="0" fontId="0" fillId="0" borderId="7" xfId="0" applyFont="1" applyBorder="1" applyAlignment="1">
      <alignment horizontal="center" vertical="center" wrapText="1"/>
    </xf>
    <xf numFmtId="0" fontId="0" fillId="0" borderId="8" xfId="0" applyFont="1" applyBorder="1" applyAlignment="1">
      <alignment horizontal="center" vertical="center" wrapText="1"/>
    </xf>
    <xf numFmtId="0" fontId="0" fillId="0" borderId="109" xfId="0" applyFont="1" applyBorder="1" applyAlignment="1">
      <alignment horizontal="left" wrapText="1"/>
    </xf>
    <xf numFmtId="0" fontId="0" fillId="0" borderId="37" xfId="0" applyFont="1" applyBorder="1" applyAlignment="1">
      <alignment horizontal="left" wrapText="1"/>
    </xf>
    <xf numFmtId="0" fontId="0" fillId="0" borderId="27" xfId="0" applyFont="1" applyFill="1" applyBorder="1" applyAlignment="1">
      <alignment horizontal="left" vertical="center" wrapText="1"/>
    </xf>
    <xf numFmtId="0" fontId="0" fillId="0" borderId="28" xfId="0" applyFont="1" applyFill="1" applyBorder="1" applyAlignment="1">
      <alignment horizontal="left" vertical="center" wrapText="1"/>
    </xf>
    <xf numFmtId="0" fontId="18" fillId="12" borderId="0" xfId="0" applyFont="1" applyFill="1" applyBorder="1" applyAlignment="1">
      <alignment horizontal="center" vertical="top" wrapText="1"/>
    </xf>
    <xf numFmtId="0" fontId="18" fillId="12" borderId="48" xfId="0" applyFont="1" applyFill="1" applyBorder="1" applyAlignment="1">
      <alignment horizontal="center" vertical="top" wrapText="1"/>
    </xf>
    <xf numFmtId="0" fontId="6" fillId="3" borderId="35" xfId="0" applyFont="1" applyFill="1" applyBorder="1" applyAlignment="1">
      <alignment horizontal="center" vertical="center" wrapText="1"/>
    </xf>
    <xf numFmtId="0" fontId="6" fillId="3" borderId="13" xfId="0" applyFont="1" applyFill="1" applyBorder="1" applyAlignment="1">
      <alignment horizontal="center" vertical="center" wrapText="1"/>
    </xf>
    <xf numFmtId="0" fontId="6" fillId="3" borderId="31" xfId="0" applyFont="1" applyFill="1" applyBorder="1" applyAlignment="1">
      <alignment horizontal="center" vertical="top" wrapText="1"/>
    </xf>
    <xf numFmtId="0" fontId="6" fillId="3" borderId="10" xfId="0" applyFont="1" applyFill="1" applyBorder="1" applyAlignment="1">
      <alignment horizontal="center" vertical="top" wrapText="1"/>
    </xf>
    <xf numFmtId="0" fontId="1" fillId="0" borderId="11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33" xfId="0" applyFont="1" applyBorder="1" applyAlignment="1">
      <alignment horizontal="center"/>
    </xf>
    <xf numFmtId="0" fontId="1" fillId="3" borderId="11" xfId="0" applyFont="1" applyFill="1" applyBorder="1" applyAlignment="1">
      <alignment horizontal="center" vertical="top"/>
    </xf>
    <xf numFmtId="0" fontId="1" fillId="3" borderId="15" xfId="0" applyFont="1" applyFill="1" applyBorder="1" applyAlignment="1">
      <alignment horizontal="center" vertical="top"/>
    </xf>
    <xf numFmtId="0" fontId="1" fillId="3" borderId="12" xfId="0" applyFont="1" applyFill="1" applyBorder="1" applyAlignment="1">
      <alignment horizontal="center" vertical="top"/>
    </xf>
    <xf numFmtId="0" fontId="14" fillId="10" borderId="113" xfId="0" applyFont="1" applyFill="1" applyBorder="1" applyAlignment="1">
      <alignment horizontal="center" vertical="center"/>
    </xf>
    <xf numFmtId="0" fontId="14" fillId="3" borderId="100" xfId="0" applyFont="1" applyFill="1" applyBorder="1"/>
    <xf numFmtId="0" fontId="14" fillId="3" borderId="120" xfId="0" applyFont="1" applyFill="1" applyBorder="1"/>
    <xf numFmtId="166" fontId="14" fillId="10" borderId="113" xfId="0" applyNumberFormat="1" applyFont="1" applyFill="1" applyBorder="1" applyAlignment="1">
      <alignment horizontal="center" vertical="center"/>
    </xf>
    <xf numFmtId="0" fontId="14" fillId="10" borderId="115" xfId="0" applyFont="1" applyFill="1" applyBorder="1" applyAlignment="1">
      <alignment horizontal="center" vertical="center"/>
    </xf>
    <xf numFmtId="0" fontId="14" fillId="3" borderId="117" xfId="0" applyFont="1" applyFill="1" applyBorder="1"/>
    <xf numFmtId="0" fontId="14" fillId="3" borderId="122" xfId="0" applyFont="1" applyFill="1" applyBorder="1"/>
    <xf numFmtId="2" fontId="14" fillId="9" borderId="102" xfId="0" applyNumberFormat="1" applyFont="1" applyFill="1" applyBorder="1" applyAlignment="1">
      <alignment horizontal="center" vertical="center"/>
    </xf>
    <xf numFmtId="164" fontId="14" fillId="9" borderId="102" xfId="0" applyNumberFormat="1" applyFont="1" applyFill="1" applyBorder="1" applyAlignment="1">
      <alignment horizontal="center" vertical="center"/>
    </xf>
    <xf numFmtId="0" fontId="5" fillId="0" borderId="28" xfId="0" applyFont="1" applyBorder="1" applyAlignment="1">
      <alignment horizontal="left" vertical="center" wrapText="1"/>
    </xf>
    <xf numFmtId="0" fontId="5" fillId="0" borderId="29" xfId="0" applyFont="1" applyBorder="1" applyAlignment="1">
      <alignment horizontal="left" vertical="center" wrapText="1"/>
    </xf>
    <xf numFmtId="0" fontId="5" fillId="0" borderId="18" xfId="0" applyFont="1" applyBorder="1" applyAlignment="1">
      <alignment horizontal="center" vertical="top" wrapText="1"/>
    </xf>
    <xf numFmtId="0" fontId="5" fillId="0" borderId="0" xfId="0" applyFont="1" applyBorder="1" applyAlignment="1">
      <alignment horizontal="center" vertical="top" wrapText="1"/>
    </xf>
    <xf numFmtId="0" fontId="5" fillId="0" borderId="30" xfId="0" applyFont="1" applyBorder="1" applyAlignment="1">
      <alignment horizontal="left" vertical="center" wrapText="1"/>
    </xf>
    <xf numFmtId="0" fontId="5" fillId="0" borderId="31" xfId="0" applyFont="1" applyBorder="1" applyAlignment="1">
      <alignment horizontal="left" vertical="center" wrapText="1"/>
    </xf>
    <xf numFmtId="0" fontId="14" fillId="9" borderId="112" xfId="0" applyFont="1" applyFill="1" applyBorder="1" applyAlignment="1">
      <alignment horizontal="center" vertical="center"/>
    </xf>
    <xf numFmtId="0" fontId="14" fillId="3" borderId="116" xfId="0" applyFont="1" applyFill="1" applyBorder="1"/>
    <xf numFmtId="0" fontId="14" fillId="3" borderId="119" xfId="0" applyFont="1" applyFill="1" applyBorder="1"/>
    <xf numFmtId="2" fontId="14" fillId="9" borderId="113" xfId="0" applyNumberFormat="1" applyFont="1" applyFill="1" applyBorder="1" applyAlignment="1">
      <alignment horizontal="center" vertical="center"/>
    </xf>
    <xf numFmtId="0" fontId="14" fillId="3" borderId="118" xfId="0" applyFont="1" applyFill="1" applyBorder="1"/>
    <xf numFmtId="164" fontId="14" fillId="9" borderId="113" xfId="0" applyNumberFormat="1" applyFont="1" applyFill="1" applyBorder="1" applyAlignment="1">
      <alignment horizontal="center" vertical="center"/>
    </xf>
    <xf numFmtId="164" fontId="14" fillId="10" borderId="113" xfId="0" applyNumberFormat="1" applyFont="1" applyFill="1" applyBorder="1" applyAlignment="1">
      <alignment horizontal="center" vertical="center"/>
    </xf>
    <xf numFmtId="164" fontId="14" fillId="0" borderId="97" xfId="0" applyNumberFormat="1" applyFont="1" applyFill="1" applyBorder="1" applyAlignment="1">
      <alignment horizontal="center" vertical="center"/>
    </xf>
    <xf numFmtId="0" fontId="14" fillId="0" borderId="100" xfId="0" applyFont="1" applyFill="1" applyBorder="1"/>
    <xf numFmtId="0" fontId="14" fillId="0" borderId="106" xfId="0" applyFont="1" applyFill="1" applyBorder="1"/>
    <xf numFmtId="165" fontId="14" fillId="0" borderId="97" xfId="0" applyNumberFormat="1" applyFont="1" applyFill="1" applyBorder="1" applyAlignment="1">
      <alignment horizontal="center" vertical="center"/>
    </xf>
    <xf numFmtId="0" fontId="14" fillId="0" borderId="97" xfId="0" applyFont="1" applyFill="1" applyBorder="1" applyAlignment="1">
      <alignment horizontal="center" vertical="center"/>
    </xf>
    <xf numFmtId="0" fontId="14" fillId="0" borderId="103" xfId="0" applyFont="1" applyFill="1" applyBorder="1" applyAlignment="1">
      <alignment horizontal="center" vertical="center"/>
    </xf>
    <xf numFmtId="0" fontId="14" fillId="0" borderId="105" xfId="0" applyFont="1" applyFill="1" applyBorder="1"/>
    <xf numFmtId="0" fontId="14" fillId="0" borderId="108" xfId="0" applyFont="1" applyFill="1" applyBorder="1"/>
    <xf numFmtId="0" fontId="4" fillId="8" borderId="109" xfId="0" applyFont="1" applyFill="1" applyBorder="1" applyAlignment="1">
      <alignment horizontal="center" vertical="center" textRotation="90"/>
    </xf>
    <xf numFmtId="0" fontId="4" fillId="8" borderId="110" xfId="0" applyFont="1" applyFill="1" applyBorder="1" applyAlignment="1">
      <alignment horizontal="center" vertical="center" textRotation="90"/>
    </xf>
    <xf numFmtId="0" fontId="4" fillId="8" borderId="111" xfId="0" applyFont="1" applyFill="1" applyBorder="1" applyAlignment="1">
      <alignment horizontal="center" vertical="center" textRotation="90"/>
    </xf>
    <xf numFmtId="0" fontId="4" fillId="2" borderId="1" xfId="0" applyFont="1" applyFill="1" applyBorder="1" applyAlignment="1">
      <alignment horizontal="center" vertical="top"/>
    </xf>
    <xf numFmtId="0" fontId="4" fillId="2" borderId="2" xfId="0" applyFont="1" applyFill="1" applyBorder="1" applyAlignment="1">
      <alignment horizontal="center" vertical="top"/>
    </xf>
    <xf numFmtId="0" fontId="4" fillId="2" borderId="3" xfId="0" applyFont="1" applyFill="1" applyBorder="1" applyAlignment="1">
      <alignment horizontal="center" vertical="top"/>
    </xf>
    <xf numFmtId="0" fontId="4" fillId="2" borderId="4" xfId="0" applyFont="1" applyFill="1" applyBorder="1" applyAlignment="1">
      <alignment horizontal="center" vertical="top"/>
    </xf>
    <xf numFmtId="0" fontId="4" fillId="2" borderId="0" xfId="0" applyFont="1" applyFill="1" applyBorder="1" applyAlignment="1">
      <alignment horizontal="center" vertical="top"/>
    </xf>
    <xf numFmtId="0" fontId="4" fillId="2" borderId="5" xfId="0" applyFont="1" applyFill="1" applyBorder="1" applyAlignment="1">
      <alignment horizontal="center" vertical="top"/>
    </xf>
    <xf numFmtId="0" fontId="4" fillId="2" borderId="6" xfId="0" applyFont="1" applyFill="1" applyBorder="1" applyAlignment="1">
      <alignment horizontal="center" vertical="top"/>
    </xf>
    <xf numFmtId="0" fontId="4" fillId="2" borderId="7" xfId="0" applyFont="1" applyFill="1" applyBorder="1" applyAlignment="1">
      <alignment horizontal="center" vertical="top"/>
    </xf>
    <xf numFmtId="0" fontId="4" fillId="2" borderId="8" xfId="0" applyFont="1" applyFill="1" applyBorder="1" applyAlignment="1">
      <alignment horizontal="center" vertical="top"/>
    </xf>
    <xf numFmtId="0" fontId="2" fillId="0" borderId="81" xfId="0" applyFont="1" applyFill="1" applyBorder="1" applyAlignment="1">
      <alignment horizontal="center" vertical="center"/>
    </xf>
    <xf numFmtId="0" fontId="14" fillId="0" borderId="78" xfId="0" applyFont="1" applyFill="1" applyBorder="1"/>
    <xf numFmtId="0" fontId="14" fillId="0" borderId="85" xfId="0" applyFont="1" applyFill="1" applyBorder="1"/>
    <xf numFmtId="2" fontId="14" fillId="0" borderId="97" xfId="0" applyNumberFormat="1" applyFont="1" applyFill="1" applyBorder="1" applyAlignment="1">
      <alignment horizontal="center" vertical="center"/>
    </xf>
    <xf numFmtId="0" fontId="14" fillId="7" borderId="48" xfId="0" applyFont="1" applyFill="1" applyBorder="1" applyAlignment="1">
      <alignment horizontal="center" vertical="center" wrapText="1"/>
    </xf>
    <xf numFmtId="0" fontId="14" fillId="0" borderId="48" xfId="0" applyFont="1" applyBorder="1" applyAlignment="1">
      <alignment horizontal="center"/>
    </xf>
    <xf numFmtId="0" fontId="14" fillId="7" borderId="48" xfId="0" applyFont="1" applyFill="1" applyBorder="1" applyAlignment="1">
      <alignment horizontal="center"/>
    </xf>
    <xf numFmtId="0" fontId="14" fillId="0" borderId="48" xfId="0" applyFont="1" applyBorder="1"/>
    <xf numFmtId="0" fontId="14" fillId="0" borderId="49" xfId="0" applyFont="1" applyBorder="1"/>
    <xf numFmtId="0" fontId="18" fillId="6" borderId="81" xfId="0" applyFont="1" applyFill="1" applyBorder="1" applyAlignment="1">
      <alignment horizontal="center" vertical="center" wrapText="1"/>
    </xf>
    <xf numFmtId="0" fontId="14" fillId="0" borderId="78" xfId="0" applyFont="1" applyBorder="1"/>
    <xf numFmtId="0" fontId="18" fillId="6" borderId="97" xfId="0" applyFont="1" applyFill="1" applyBorder="1" applyAlignment="1">
      <alignment horizontal="center" vertical="center" wrapText="1"/>
    </xf>
    <xf numFmtId="0" fontId="14" fillId="0" borderId="100" xfId="0" applyFont="1" applyBorder="1"/>
    <xf numFmtId="0" fontId="18" fillId="6" borderId="97" xfId="0" applyFont="1" applyFill="1" applyBorder="1" applyAlignment="1">
      <alignment horizontal="center" vertical="center"/>
    </xf>
    <xf numFmtId="0" fontId="18" fillId="6" borderId="57" xfId="0" applyFont="1" applyFill="1" applyBorder="1" applyAlignment="1">
      <alignment horizontal="center" vertical="center"/>
    </xf>
    <xf numFmtId="0" fontId="14" fillId="0" borderId="45" xfId="0" applyFont="1" applyBorder="1"/>
    <xf numFmtId="0" fontId="14" fillId="0" borderId="83" xfId="0" applyFont="1" applyBorder="1"/>
    <xf numFmtId="0" fontId="14" fillId="0" borderId="0" xfId="0" applyFont="1" applyBorder="1"/>
    <xf numFmtId="0" fontId="18" fillId="6" borderId="98" xfId="0" applyFont="1" applyFill="1" applyBorder="1" applyAlignment="1">
      <alignment horizontal="center" vertical="center" wrapText="1"/>
    </xf>
    <xf numFmtId="0" fontId="14" fillId="0" borderId="101" xfId="0" applyFont="1" applyBorder="1"/>
    <xf numFmtId="0" fontId="18" fillId="6" borderId="44" xfId="0" applyFont="1" applyFill="1" applyBorder="1" applyAlignment="1">
      <alignment horizontal="center" vertical="center" textRotation="90" wrapText="1"/>
    </xf>
    <xf numFmtId="0" fontId="14" fillId="0" borderId="95" xfId="0" applyFont="1" applyBorder="1"/>
    <xf numFmtId="0" fontId="14" fillId="0" borderId="47" xfId="0" applyFont="1" applyBorder="1"/>
    <xf numFmtId="0" fontId="14" fillId="0" borderId="44" xfId="0" applyFont="1" applyFill="1" applyBorder="1" applyAlignment="1">
      <alignment horizontal="center" vertical="center"/>
    </xf>
    <xf numFmtId="0" fontId="14" fillId="0" borderId="45" xfId="0" applyFont="1" applyFill="1" applyBorder="1" applyAlignment="1">
      <alignment horizontal="center"/>
    </xf>
    <xf numFmtId="0" fontId="14" fillId="0" borderId="45" xfId="0" applyFont="1" applyFill="1" applyBorder="1" applyAlignment="1">
      <alignment horizontal="center" vertical="center" wrapText="1"/>
    </xf>
    <xf numFmtId="0" fontId="14" fillId="0" borderId="45" xfId="0" applyFont="1" applyFill="1" applyBorder="1" applyAlignment="1">
      <alignment horizontal="center" vertical="center"/>
    </xf>
    <xf numFmtId="0" fontId="14" fillId="0" borderId="46" xfId="0" applyFont="1" applyFill="1" applyBorder="1" applyAlignment="1">
      <alignment horizontal="center"/>
    </xf>
    <xf numFmtId="0" fontId="14" fillId="7" borderId="95" xfId="0" applyFont="1" applyFill="1" applyBorder="1" applyAlignment="1">
      <alignment horizontal="center" vertical="center"/>
    </xf>
    <xf numFmtId="0" fontId="14" fillId="0" borderId="0" xfId="0" applyFont="1" applyBorder="1" applyAlignment="1">
      <alignment horizontal="center"/>
    </xf>
    <xf numFmtId="0" fontId="14" fillId="7" borderId="0" xfId="0" applyFont="1" applyFill="1" applyBorder="1" applyAlignment="1">
      <alignment horizontal="center" vertical="center" wrapText="1"/>
    </xf>
    <xf numFmtId="0" fontId="14" fillId="7" borderId="0" xfId="0" applyFont="1" applyFill="1" applyBorder="1" applyAlignment="1">
      <alignment horizontal="center" vertical="center"/>
    </xf>
    <xf numFmtId="0" fontId="14" fillId="7" borderId="0" xfId="0" applyFont="1" applyFill="1" applyBorder="1" applyAlignment="1">
      <alignment horizontal="center"/>
    </xf>
    <xf numFmtId="0" fontId="14" fillId="0" borderId="96" xfId="0" applyFont="1" applyBorder="1"/>
    <xf numFmtId="0" fontId="14" fillId="7" borderId="47" xfId="0" applyFont="1" applyFill="1" applyBorder="1" applyAlignment="1">
      <alignment horizontal="center" vertical="center" wrapText="1"/>
    </xf>
    <xf numFmtId="0" fontId="2" fillId="0" borderId="88" xfId="0" applyFont="1" applyFill="1" applyBorder="1" applyAlignment="1">
      <alignment horizontal="center" vertical="center" wrapText="1"/>
    </xf>
    <xf numFmtId="0" fontId="14" fillId="0" borderId="91" xfId="0" applyFont="1" applyFill="1" applyBorder="1"/>
    <xf numFmtId="0" fontId="2" fillId="0" borderId="67" xfId="0" applyFont="1" applyFill="1" applyBorder="1" applyAlignment="1">
      <alignment horizontal="center" vertical="center"/>
    </xf>
    <xf numFmtId="0" fontId="14" fillId="0" borderId="68" xfId="0" applyFont="1" applyFill="1" applyBorder="1"/>
    <xf numFmtId="0" fontId="2" fillId="0" borderId="67" xfId="0" applyFont="1" applyFill="1" applyBorder="1" applyAlignment="1">
      <alignment horizontal="center"/>
    </xf>
    <xf numFmtId="0" fontId="2" fillId="0" borderId="67" xfId="0" applyFont="1" applyFill="1" applyBorder="1" applyAlignment="1">
      <alignment horizontal="center" vertical="top"/>
    </xf>
    <xf numFmtId="0" fontId="15" fillId="0" borderId="67" xfId="0" applyFont="1" applyFill="1" applyBorder="1" applyAlignment="1">
      <alignment horizontal="center" vertical="center" wrapText="1"/>
    </xf>
    <xf numFmtId="0" fontId="16" fillId="0" borderId="94" xfId="0" applyFont="1" applyFill="1" applyBorder="1"/>
    <xf numFmtId="0" fontId="2" fillId="0" borderId="86" xfId="0" applyFont="1" applyFill="1" applyBorder="1" applyAlignment="1">
      <alignment horizontal="center" vertical="center"/>
    </xf>
    <xf numFmtId="0" fontId="2" fillId="0" borderId="88" xfId="0" applyFont="1" applyFill="1" applyBorder="1" applyAlignment="1">
      <alignment horizontal="center" vertical="center"/>
    </xf>
    <xf numFmtId="0" fontId="14" fillId="0" borderId="80" xfId="0" applyFont="1" applyFill="1" applyBorder="1"/>
    <xf numFmtId="0" fontId="2" fillId="0" borderId="88" xfId="0" applyFont="1" applyFill="1" applyBorder="1" applyAlignment="1">
      <alignment horizontal="center"/>
    </xf>
    <xf numFmtId="0" fontId="2" fillId="0" borderId="58" xfId="0" applyFont="1" applyFill="1" applyBorder="1" applyAlignment="1">
      <alignment horizontal="center" vertical="top"/>
    </xf>
    <xf numFmtId="0" fontId="14" fillId="0" borderId="59" xfId="0" applyFont="1" applyFill="1" applyBorder="1"/>
    <xf numFmtId="0" fontId="15" fillId="0" borderId="70" xfId="0" applyFont="1" applyFill="1" applyBorder="1" applyAlignment="1">
      <alignment horizontal="center"/>
    </xf>
    <xf numFmtId="0" fontId="16" fillId="0" borderId="70" xfId="0" applyFont="1" applyFill="1" applyBorder="1"/>
    <xf numFmtId="0" fontId="19" fillId="0" borderId="71" xfId="0" applyFont="1" applyFill="1" applyBorder="1" applyAlignment="1">
      <alignment horizontal="center"/>
    </xf>
    <xf numFmtId="0" fontId="16" fillId="0" borderId="72" xfId="0" applyFont="1" applyFill="1" applyBorder="1"/>
    <xf numFmtId="0" fontId="16" fillId="0" borderId="73" xfId="0" applyFont="1" applyFill="1" applyBorder="1"/>
    <xf numFmtId="0" fontId="19" fillId="0" borderId="74" xfId="0" applyFont="1" applyFill="1" applyBorder="1" applyAlignment="1">
      <alignment horizontal="center"/>
    </xf>
    <xf numFmtId="0" fontId="16" fillId="0" borderId="75" xfId="0" applyFont="1" applyFill="1" applyBorder="1"/>
    <xf numFmtId="0" fontId="18" fillId="6" borderId="77" xfId="0" applyFont="1" applyFill="1" applyBorder="1" applyAlignment="1">
      <alignment horizontal="center" vertical="center" wrapText="1"/>
    </xf>
    <xf numFmtId="0" fontId="14" fillId="0" borderId="84" xfId="0" applyFont="1" applyBorder="1"/>
    <xf numFmtId="0" fontId="14" fillId="0" borderId="92" xfId="0" applyFont="1" applyBorder="1"/>
    <xf numFmtId="0" fontId="21" fillId="0" borderId="78" xfId="0" applyFont="1" applyFill="1" applyBorder="1" applyAlignment="1">
      <alignment horizontal="center" vertical="center" wrapText="1"/>
    </xf>
    <xf numFmtId="0" fontId="2" fillId="0" borderId="79" xfId="0" applyFont="1" applyFill="1" applyBorder="1" applyAlignment="1">
      <alignment horizontal="center" vertical="center"/>
    </xf>
    <xf numFmtId="0" fontId="21" fillId="0" borderId="81" xfId="0" applyFont="1" applyFill="1" applyBorder="1" applyAlignment="1">
      <alignment horizontal="center" vertical="center" wrapText="1"/>
    </xf>
    <xf numFmtId="0" fontId="2" fillId="0" borderId="82" xfId="0" applyFont="1" applyFill="1" applyBorder="1" applyAlignment="1">
      <alignment horizontal="center" vertical="center"/>
    </xf>
    <xf numFmtId="0" fontId="15" fillId="0" borderId="83" xfId="0" applyFont="1" applyFill="1" applyBorder="1" applyAlignment="1">
      <alignment horizontal="center" vertical="center"/>
    </xf>
    <xf numFmtId="0" fontId="16" fillId="0" borderId="0" xfId="0" applyFont="1" applyFill="1" applyBorder="1"/>
    <xf numFmtId="0" fontId="16" fillId="0" borderId="45" xfId="0" applyFont="1" applyFill="1" applyBorder="1"/>
    <xf numFmtId="0" fontId="16" fillId="0" borderId="46" xfId="0" applyFont="1" applyFill="1" applyBorder="1"/>
    <xf numFmtId="0" fontId="16" fillId="0" borderId="87" xfId="0" applyFont="1" applyFill="1" applyBorder="1"/>
    <xf numFmtId="0" fontId="16" fillId="0" borderId="48" xfId="0" applyFont="1" applyFill="1" applyBorder="1"/>
    <xf numFmtId="0" fontId="16" fillId="0" borderId="49" xfId="0" applyFont="1" applyFill="1" applyBorder="1"/>
    <xf numFmtId="0" fontId="2" fillId="0" borderId="55" xfId="0" applyFont="1" applyFill="1" applyBorder="1" applyAlignment="1">
      <alignment horizontal="center" vertical="center"/>
    </xf>
    <xf numFmtId="0" fontId="14" fillId="0" borderId="56" xfId="0" applyFont="1" applyFill="1" applyBorder="1" applyAlignment="1">
      <alignment vertical="center"/>
    </xf>
    <xf numFmtId="0" fontId="15" fillId="0" borderId="57" xfId="0" applyFont="1" applyFill="1" applyBorder="1" applyAlignment="1">
      <alignment horizontal="center" vertical="center"/>
    </xf>
    <xf numFmtId="0" fontId="16" fillId="0" borderId="45" xfId="0" applyFont="1" applyFill="1" applyBorder="1" applyAlignment="1">
      <alignment vertical="center"/>
    </xf>
    <xf numFmtId="0" fontId="16" fillId="0" borderId="46" xfId="0" applyFont="1" applyFill="1" applyBorder="1" applyAlignment="1">
      <alignment vertical="center"/>
    </xf>
    <xf numFmtId="0" fontId="17" fillId="0" borderId="57" xfId="0" applyFont="1" applyFill="1" applyBorder="1" applyAlignment="1">
      <alignment horizontal="center" vertical="center"/>
    </xf>
    <xf numFmtId="0" fontId="16" fillId="0" borderId="56" xfId="0" applyFont="1" applyFill="1" applyBorder="1" applyAlignment="1">
      <alignment vertical="center"/>
    </xf>
    <xf numFmtId="0" fontId="18" fillId="6" borderId="44" xfId="0" applyFont="1" applyFill="1" applyBorder="1" applyAlignment="1">
      <alignment horizontal="center" vertical="center" wrapText="1"/>
    </xf>
    <xf numFmtId="0" fontId="2" fillId="0" borderId="58" xfId="0" applyFont="1" applyFill="1" applyBorder="1" applyAlignment="1">
      <alignment horizontal="center"/>
    </xf>
    <xf numFmtId="0" fontId="2" fillId="0" borderId="61" xfId="0" applyFont="1" applyFill="1" applyBorder="1" applyAlignment="1">
      <alignment horizontal="center" vertical="center"/>
    </xf>
    <xf numFmtId="0" fontId="14" fillId="0" borderId="61" xfId="0" applyFont="1" applyFill="1" applyBorder="1"/>
    <xf numFmtId="0" fontId="2" fillId="0" borderId="62" xfId="0" applyFont="1" applyFill="1" applyBorder="1" applyAlignment="1">
      <alignment horizontal="center" vertical="center" wrapText="1"/>
    </xf>
    <xf numFmtId="0" fontId="14" fillId="0" borderId="63" xfId="0" applyFont="1" applyFill="1" applyBorder="1"/>
    <xf numFmtId="0" fontId="14" fillId="0" borderId="64" xfId="0" applyFont="1" applyFill="1" applyBorder="1"/>
    <xf numFmtId="0" fontId="2" fillId="0" borderId="61" xfId="0" applyFont="1" applyFill="1" applyBorder="1" applyAlignment="1">
      <alignment horizontal="center" vertical="center" wrapText="1"/>
    </xf>
    <xf numFmtId="0" fontId="14" fillId="0" borderId="65" xfId="0" applyFont="1" applyFill="1" applyBorder="1"/>
    <xf numFmtId="0" fontId="13" fillId="0" borderId="45" xfId="0" applyFont="1" applyBorder="1" applyAlignment="1">
      <alignment horizontal="center" wrapText="1"/>
    </xf>
    <xf numFmtId="14" fontId="15" fillId="0" borderId="51" xfId="0" applyNumberFormat="1" applyFont="1" applyFill="1" applyBorder="1" applyAlignment="1">
      <alignment horizontal="center" vertical="center"/>
    </xf>
    <xf numFmtId="0" fontId="16" fillId="0" borderId="52" xfId="0" applyFont="1" applyFill="1" applyBorder="1"/>
    <xf numFmtId="0" fontId="15" fillId="0" borderId="51" xfId="0" applyFont="1" applyBorder="1" applyAlignment="1">
      <alignment horizontal="center" vertical="center" wrapText="1"/>
    </xf>
    <xf numFmtId="0" fontId="16" fillId="0" borderId="52" xfId="0" applyFont="1" applyBorder="1"/>
    <xf numFmtId="0" fontId="16" fillId="0" borderId="54" xfId="0" applyFont="1" applyBorder="1"/>
    <xf numFmtId="0" fontId="1" fillId="0" borderId="9" xfId="0" applyFont="1" applyFill="1" applyBorder="1" applyAlignment="1">
      <alignment horizontal="right"/>
    </xf>
    <xf numFmtId="0" fontId="1" fillId="0" borderId="41" xfId="0" applyFont="1" applyFill="1" applyBorder="1" applyAlignment="1">
      <alignment horizontal="right"/>
    </xf>
    <xf numFmtId="0" fontId="1" fillId="0" borderId="42" xfId="0" applyFont="1" applyFill="1" applyBorder="1" applyAlignment="1">
      <alignment horizontal="right"/>
    </xf>
    <xf numFmtId="0" fontId="1" fillId="0" borderId="11" xfId="0" applyFont="1" applyFill="1" applyBorder="1" applyAlignment="1">
      <alignment horizontal="center"/>
    </xf>
    <xf numFmtId="0" fontId="1" fillId="0" borderId="15" xfId="0" applyFont="1" applyFill="1" applyBorder="1" applyAlignment="1">
      <alignment horizontal="center"/>
    </xf>
    <xf numFmtId="0" fontId="1" fillId="0" borderId="33" xfId="0" applyFont="1" applyFill="1" applyBorder="1" applyAlignment="1">
      <alignment horizontal="center"/>
    </xf>
    <xf numFmtId="0" fontId="1" fillId="0" borderId="12" xfId="0" applyFont="1" applyFill="1" applyBorder="1" applyAlignment="1">
      <alignment horizontal="center"/>
    </xf>
    <xf numFmtId="0" fontId="1" fillId="0" borderId="38" xfId="0" applyFont="1" applyFill="1" applyBorder="1" applyAlignment="1">
      <alignment horizontal="center"/>
    </xf>
    <xf numFmtId="0" fontId="1" fillId="0" borderId="39" xfId="0" applyFont="1" applyFill="1" applyBorder="1" applyAlignment="1">
      <alignment horizontal="center"/>
    </xf>
    <xf numFmtId="0" fontId="1" fillId="0" borderId="128" xfId="0" applyFont="1" applyFill="1" applyBorder="1" applyAlignment="1">
      <alignment horizontal="center"/>
    </xf>
    <xf numFmtId="0" fontId="1" fillId="0" borderId="40" xfId="0" applyFont="1" applyFill="1" applyBorder="1" applyAlignment="1">
      <alignment horizontal="center"/>
    </xf>
    <xf numFmtId="0" fontId="1" fillId="0" borderId="126" xfId="0" applyFont="1" applyFill="1" applyBorder="1" applyAlignment="1">
      <alignment horizontal="center"/>
    </xf>
    <xf numFmtId="0" fontId="1" fillId="0" borderId="127" xfId="0" applyFont="1" applyFill="1" applyBorder="1" applyAlignment="1">
      <alignment horizontal="center"/>
    </xf>
    <xf numFmtId="0" fontId="0" fillId="0" borderId="32" xfId="0" applyFont="1" applyBorder="1"/>
    <xf numFmtId="0" fontId="0" fillId="0" borderId="129" xfId="0" applyFont="1" applyBorder="1" applyAlignment="1">
      <alignment horizontal="center"/>
    </xf>
    <xf numFmtId="0" fontId="0" fillId="0" borderId="2" xfId="0" applyFont="1" applyBorder="1" applyAlignment="1">
      <alignment horizontal="center"/>
    </xf>
    <xf numFmtId="0" fontId="0" fillId="0" borderId="3" xfId="0" applyFont="1" applyBorder="1" applyAlignment="1">
      <alignment horizontal="center"/>
    </xf>
    <xf numFmtId="0" fontId="25" fillId="0" borderId="129" xfId="0" applyFont="1" applyBorder="1" applyAlignment="1">
      <alignment horizontal="center" vertical="center" wrapText="1"/>
    </xf>
    <xf numFmtId="0" fontId="25" fillId="0" borderId="2" xfId="0" applyFont="1" applyBorder="1" applyAlignment="1">
      <alignment horizontal="center" vertical="center" wrapText="1"/>
    </xf>
    <xf numFmtId="0" fontId="26" fillId="0" borderId="129" xfId="0" applyFont="1" applyBorder="1" applyAlignment="1">
      <alignment horizontal="center" wrapText="1"/>
    </xf>
    <xf numFmtId="0" fontId="26" fillId="0" borderId="3" xfId="0" applyFont="1" applyBorder="1" applyAlignment="1">
      <alignment horizontal="center" wrapText="1"/>
    </xf>
    <xf numFmtId="0" fontId="0" fillId="0" borderId="25" xfId="0" applyFont="1" applyBorder="1" applyAlignment="1">
      <alignment horizontal="center"/>
    </xf>
    <xf numFmtId="0" fontId="0" fillId="0" borderId="7" xfId="0" applyFont="1" applyBorder="1" applyAlignment="1">
      <alignment horizontal="center"/>
    </xf>
    <xf numFmtId="0" fontId="0" fillId="0" borderId="8" xfId="0" applyFont="1" applyBorder="1" applyAlignment="1">
      <alignment horizontal="center"/>
    </xf>
    <xf numFmtId="0" fontId="25" fillId="0" borderId="25" xfId="0" applyFont="1" applyBorder="1" applyAlignment="1">
      <alignment horizontal="center" vertical="center" wrapText="1"/>
    </xf>
    <xf numFmtId="0" fontId="25" fillId="0" borderId="7" xfId="0" applyFont="1" applyBorder="1" applyAlignment="1">
      <alignment horizontal="center" vertical="center" wrapText="1"/>
    </xf>
    <xf numFmtId="0" fontId="26" fillId="0" borderId="25" xfId="0" applyFont="1" applyBorder="1" applyAlignment="1">
      <alignment horizontal="center" wrapText="1"/>
    </xf>
    <xf numFmtId="0" fontId="26" fillId="0" borderId="8" xfId="0" applyFont="1" applyBorder="1" applyAlignment="1">
      <alignment horizontal="center" wrapText="1"/>
    </xf>
  </cellXfs>
  <cellStyles count="3">
    <cellStyle name="Moneda 2" xfId="2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jpeg"/><Relationship Id="rId7" Type="http://schemas.openxmlformats.org/officeDocument/2006/relationships/image" Target="../media/image10.png"/><Relationship Id="rId2" Type="http://schemas.openxmlformats.org/officeDocument/2006/relationships/image" Target="../media/image5.jpeg"/><Relationship Id="rId1" Type="http://schemas.openxmlformats.org/officeDocument/2006/relationships/image" Target="../media/image4.jpeg"/><Relationship Id="rId6" Type="http://schemas.openxmlformats.org/officeDocument/2006/relationships/image" Target="../media/image9.png"/><Relationship Id="rId5" Type="http://schemas.openxmlformats.org/officeDocument/2006/relationships/image" Target="../media/image8.jpeg"/><Relationship Id="rId4" Type="http://schemas.openxmlformats.org/officeDocument/2006/relationships/image" Target="../media/image7.jpe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10.png"/><Relationship Id="rId3" Type="http://schemas.openxmlformats.org/officeDocument/2006/relationships/image" Target="../media/image13.jpeg"/><Relationship Id="rId7" Type="http://schemas.openxmlformats.org/officeDocument/2006/relationships/image" Target="../media/image9.png"/><Relationship Id="rId2" Type="http://schemas.openxmlformats.org/officeDocument/2006/relationships/image" Target="../media/image12.jpeg"/><Relationship Id="rId1" Type="http://schemas.openxmlformats.org/officeDocument/2006/relationships/image" Target="../media/image11.jpeg"/><Relationship Id="rId6" Type="http://schemas.openxmlformats.org/officeDocument/2006/relationships/image" Target="../media/image16.jpeg"/><Relationship Id="rId5" Type="http://schemas.openxmlformats.org/officeDocument/2006/relationships/image" Target="../media/image15.jpeg"/><Relationship Id="rId4" Type="http://schemas.openxmlformats.org/officeDocument/2006/relationships/image" Target="../media/image14.jpe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9.jpeg"/><Relationship Id="rId7" Type="http://schemas.openxmlformats.org/officeDocument/2006/relationships/image" Target="../media/image10.png"/><Relationship Id="rId2" Type="http://schemas.openxmlformats.org/officeDocument/2006/relationships/image" Target="../media/image18.jpeg"/><Relationship Id="rId1" Type="http://schemas.openxmlformats.org/officeDocument/2006/relationships/image" Target="../media/image17.jpeg"/><Relationship Id="rId6" Type="http://schemas.openxmlformats.org/officeDocument/2006/relationships/image" Target="../media/image9.png"/><Relationship Id="rId5" Type="http://schemas.openxmlformats.org/officeDocument/2006/relationships/image" Target="../media/image21.jpeg"/><Relationship Id="rId4" Type="http://schemas.openxmlformats.org/officeDocument/2006/relationships/image" Target="../media/image20.jpe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png"/><Relationship Id="rId2" Type="http://schemas.openxmlformats.org/officeDocument/2006/relationships/image" Target="../media/image23.jpeg"/><Relationship Id="rId1" Type="http://schemas.openxmlformats.org/officeDocument/2006/relationships/image" Target="../media/image22.jpeg"/><Relationship Id="rId4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3</xdr:row>
      <xdr:rowOff>0</xdr:rowOff>
    </xdr:from>
    <xdr:to>
      <xdr:col>9</xdr:col>
      <xdr:colOff>0</xdr:colOff>
      <xdr:row>23</xdr:row>
      <xdr:rowOff>0</xdr:rowOff>
    </xdr:to>
    <xdr:pic>
      <xdr:nvPicPr>
        <xdr:cNvPr id="4" name="Imagen 3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47725" y="466725"/>
          <a:ext cx="5334000" cy="3810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9</xdr:col>
      <xdr:colOff>0</xdr:colOff>
      <xdr:row>40</xdr:row>
      <xdr:rowOff>0</xdr:rowOff>
    </xdr:to>
    <xdr:pic>
      <xdr:nvPicPr>
        <xdr:cNvPr id="6" name="Imagen 5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47725" y="4829175"/>
          <a:ext cx="5334000" cy="24765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30480</xdr:colOff>
      <xdr:row>14</xdr:row>
      <xdr:rowOff>68580</xdr:rowOff>
    </xdr:from>
    <xdr:ext cx="174535" cy="172227"/>
    <xdr:sp macro="" textlink="">
      <xdr:nvSpPr>
        <xdr:cNvPr id="2" name="CuadroTexto 22">
          <a:extLst>
            <a:ext uri="{FF2B5EF4-FFF2-40B4-BE49-F238E27FC236}">
              <a16:creationId xmlns:a16="http://schemas.microsoft.com/office/drawing/2014/main" id="{FD240DDD-5F74-41EA-B78E-E3B54C280256}"/>
            </a:ext>
          </a:extLst>
        </xdr:cNvPr>
        <xdr:cNvSpPr txBox="1"/>
      </xdr:nvSpPr>
      <xdr:spPr>
        <a:xfrm>
          <a:off x="5678805" y="3859530"/>
          <a:ext cx="17453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es-CO" sz="1100" b="1" i="0" baseline="0">
              <a:latin typeface="Cambria Math" panose="02040503050406030204" pitchFamily="18" charset="0"/>
            </a:rPr>
            <a:t>¯</a:t>
          </a:r>
          <a:r>
            <a:rPr lang="es-CO" sz="1100" b="1" i="0" u="none" baseline="0">
              <a:latin typeface="Cambria Math" panose="02040503050406030204" pitchFamily="18" charset="0"/>
            </a:rPr>
            <a:t>𝐕𝐢</a:t>
          </a:r>
          <a:endParaRPr lang="es-CO" sz="1100" b="1" i="0" u="none" baseline="0">
            <a:latin typeface="Calibri" panose="020F0502020204030204" pitchFamily="34" charset="0"/>
          </a:endParaRPr>
        </a:p>
      </xdr:txBody>
    </xdr:sp>
    <xdr:clientData/>
  </xdr:oneCellAnchor>
  <xdr:oneCellAnchor>
    <xdr:from>
      <xdr:col>6</xdr:col>
      <xdr:colOff>676738</xdr:colOff>
      <xdr:row>109</xdr:row>
      <xdr:rowOff>105833</xdr:rowOff>
    </xdr:from>
    <xdr:ext cx="240046" cy="156518"/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383907B5-7C0E-4BCF-BD7F-B5A6392A02A3}"/>
            </a:ext>
          </a:extLst>
        </xdr:cNvPr>
        <xdr:cNvSpPr txBox="1"/>
      </xdr:nvSpPr>
      <xdr:spPr>
        <a:xfrm>
          <a:off x="4181938" y="20603633"/>
          <a:ext cx="240046" cy="15651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r>
            <a:rPr lang="es-CO" sz="1000" b="1" i="0" baseline="0">
              <a:latin typeface="Cambria Math"/>
            </a:rPr>
            <a:t>¯</a:t>
          </a:r>
          <a:r>
            <a:rPr lang="es-CO" sz="1000" b="1" i="0" baseline="0">
              <a:latin typeface="Cambria Math" panose="02040503050406030204" pitchFamily="18" charset="0"/>
            </a:rPr>
            <a:t>𝐕𝐢</a:t>
          </a:r>
          <a:endParaRPr lang="es-CO" sz="1000" b="1" i="0" baseline="0">
            <a:latin typeface="Calibri" panose="020F0502020204030204" pitchFamily="34" charset="0"/>
          </a:endParaRPr>
        </a:p>
      </xdr:txBody>
    </xdr:sp>
    <xdr:clientData/>
  </xdr:oneCellAnchor>
  <xdr:oneCellAnchor>
    <xdr:from>
      <xdr:col>10</xdr:col>
      <xdr:colOff>306907</xdr:colOff>
      <xdr:row>15</xdr:row>
      <xdr:rowOff>0</xdr:rowOff>
    </xdr:from>
    <xdr:ext cx="153866" cy="196464"/>
    <xdr:sp macro="" textlink="">
      <xdr:nvSpPr>
        <xdr:cNvPr id="4" name="CuadroTexto 1">
          <a:extLst>
            <a:ext uri="{FF2B5EF4-FFF2-40B4-BE49-F238E27FC236}">
              <a16:creationId xmlns:a16="http://schemas.microsoft.com/office/drawing/2014/main" id="{7C620ED8-05B9-4EE2-A144-12F569657F6A}"/>
            </a:ext>
          </a:extLst>
        </xdr:cNvPr>
        <xdr:cNvSpPr txBox="1"/>
      </xdr:nvSpPr>
      <xdr:spPr>
        <a:xfrm>
          <a:off x="6669607" y="4067175"/>
          <a:ext cx="153866" cy="19646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r>
            <a:rPr lang="es-CO" sz="1100" b="1" i="0" baseline="0">
              <a:latin typeface="Cambria Math"/>
            </a:rPr>
            <a:t>¯</a:t>
          </a:r>
          <a:r>
            <a:rPr lang="es-CO" sz="1100" b="1" i="0" baseline="0">
              <a:latin typeface="Cambria Math" panose="02040503050406030204" pitchFamily="18" charset="0"/>
            </a:rPr>
            <a:t>𝐕𝐢</a:t>
          </a:r>
          <a:endParaRPr lang="es-CO" sz="1100" b="1" i="0" baseline="0">
            <a:latin typeface="Calibri" panose="020F0502020204030204" pitchFamily="34" charset="0"/>
          </a:endParaRPr>
        </a:p>
      </xdr:txBody>
    </xdr:sp>
    <xdr:clientData/>
  </xdr:oneCellAnchor>
  <xdr:twoCellAnchor editAs="oneCell">
    <xdr:from>
      <xdr:col>1</xdr:col>
      <xdr:colOff>231510</xdr:colOff>
      <xdr:row>125</xdr:row>
      <xdr:rowOff>134937</xdr:rowOff>
    </xdr:from>
    <xdr:to>
      <xdr:col>5</xdr:col>
      <xdr:colOff>491406</xdr:colOff>
      <xdr:row>131</xdr:row>
      <xdr:rowOff>68301</xdr:rowOff>
    </xdr:to>
    <xdr:pic>
      <xdr:nvPicPr>
        <xdr:cNvPr id="5" name="Imagen 24"/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496" r="1269"/>
        <a:stretch/>
      </xdr:blipFill>
      <xdr:spPr>
        <a:xfrm>
          <a:off x="241035" y="23814087"/>
          <a:ext cx="3041196" cy="1800265"/>
        </a:xfrm>
        <a:prstGeom prst="rect">
          <a:avLst/>
        </a:prstGeom>
        <a:ln w="19050">
          <a:solidFill>
            <a:schemeClr val="tx1"/>
          </a:solidFill>
        </a:ln>
      </xdr:spPr>
    </xdr:pic>
    <xdr:clientData/>
  </xdr:twoCellAnchor>
  <xdr:twoCellAnchor editAs="oneCell">
    <xdr:from>
      <xdr:col>6</xdr:col>
      <xdr:colOff>284427</xdr:colOff>
      <xdr:row>126</xdr:row>
      <xdr:rowOff>3969</xdr:rowOff>
    </xdr:from>
    <xdr:to>
      <xdr:col>10</xdr:col>
      <xdr:colOff>434012</xdr:colOff>
      <xdr:row>131</xdr:row>
      <xdr:rowOff>127833</xdr:rowOff>
    </xdr:to>
    <xdr:pic>
      <xdr:nvPicPr>
        <xdr:cNvPr id="6" name="Imagen 23"/>
        <xdr:cNvPicPr/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047" r="1176"/>
        <a:stretch/>
      </xdr:blipFill>
      <xdr:spPr>
        <a:xfrm>
          <a:off x="3789627" y="23873619"/>
          <a:ext cx="3007085" cy="1800265"/>
        </a:xfrm>
        <a:prstGeom prst="rect">
          <a:avLst/>
        </a:prstGeom>
        <a:ln w="19050">
          <a:solidFill>
            <a:schemeClr val="tx1"/>
          </a:solidFill>
        </a:ln>
      </xdr:spPr>
    </xdr:pic>
    <xdr:clientData/>
  </xdr:twoCellAnchor>
  <xdr:twoCellAnchor editAs="oneCell">
    <xdr:from>
      <xdr:col>6</xdr:col>
      <xdr:colOff>352425</xdr:colOff>
      <xdr:row>134</xdr:row>
      <xdr:rowOff>85725</xdr:rowOff>
    </xdr:from>
    <xdr:to>
      <xdr:col>9</xdr:col>
      <xdr:colOff>662940</xdr:colOff>
      <xdr:row>134</xdr:row>
      <xdr:rowOff>1914525</xdr:rowOff>
    </xdr:to>
    <xdr:pic>
      <xdr:nvPicPr>
        <xdr:cNvPr id="8" name="Imagen 7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57625" y="26536650"/>
          <a:ext cx="2453640" cy="1828800"/>
        </a:xfrm>
        <a:prstGeom prst="rect">
          <a:avLst/>
        </a:prstGeom>
      </xdr:spPr>
    </xdr:pic>
    <xdr:clientData/>
  </xdr:twoCellAnchor>
  <xdr:twoCellAnchor editAs="oneCell">
    <xdr:from>
      <xdr:col>1</xdr:col>
      <xdr:colOff>369075</xdr:colOff>
      <xdr:row>134</xdr:row>
      <xdr:rowOff>54754</xdr:rowOff>
    </xdr:from>
    <xdr:to>
      <xdr:col>4</xdr:col>
      <xdr:colOff>341207</xdr:colOff>
      <xdr:row>134</xdr:row>
      <xdr:rowOff>1876428</xdr:rowOff>
    </xdr:to>
    <xdr:pic>
      <xdr:nvPicPr>
        <xdr:cNvPr id="9" name="Imagen 8"/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32681"/>
        <a:stretch/>
      </xdr:blipFill>
      <xdr:spPr>
        <a:xfrm rot="5400000">
          <a:off x="487292" y="26396987"/>
          <a:ext cx="1821674" cy="2039057"/>
        </a:xfrm>
        <a:prstGeom prst="rect">
          <a:avLst/>
        </a:prstGeom>
      </xdr:spPr>
    </xdr:pic>
    <xdr:clientData/>
  </xdr:twoCellAnchor>
  <xdr:twoCellAnchor editAs="oneCell">
    <xdr:from>
      <xdr:col>12</xdr:col>
      <xdr:colOff>361951</xdr:colOff>
      <xdr:row>134</xdr:row>
      <xdr:rowOff>85725</xdr:rowOff>
    </xdr:from>
    <xdr:to>
      <xdr:col>15</xdr:col>
      <xdr:colOff>631141</xdr:colOff>
      <xdr:row>134</xdr:row>
      <xdr:rowOff>1890675</xdr:rowOff>
    </xdr:to>
    <xdr:pic>
      <xdr:nvPicPr>
        <xdr:cNvPr id="10" name="Imagen 9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53401" y="26536650"/>
          <a:ext cx="2412315" cy="1804950"/>
        </a:xfrm>
        <a:prstGeom prst="rect">
          <a:avLst/>
        </a:prstGeom>
      </xdr:spPr>
    </xdr:pic>
    <xdr:clientData/>
  </xdr:twoCellAnchor>
  <xdr:oneCellAnchor>
    <xdr:from>
      <xdr:col>4</xdr:col>
      <xdr:colOff>707523</xdr:colOff>
      <xdr:row>103</xdr:row>
      <xdr:rowOff>87920</xdr:rowOff>
    </xdr:from>
    <xdr:ext cx="1519198" cy="30251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" name="CuadroTexto 15">
              <a:extLst>
                <a:ext uri="{FF2B5EF4-FFF2-40B4-BE49-F238E27FC236}">
                  <a16:creationId xmlns:a16="http://schemas.microsoft.com/office/drawing/2014/main" id="{14D38863-A958-44A1-BF80-1962F5ABE349}"/>
                </a:ext>
              </a:extLst>
            </xdr:cNvPr>
            <xdr:cNvSpPr txBox="1"/>
          </xdr:nvSpPr>
          <xdr:spPr>
            <a:xfrm>
              <a:off x="2783973" y="19557020"/>
              <a:ext cx="1519198" cy="30251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bar>
                      <m:barPr>
                        <m:pos m:val="top"/>
                        <m:ctrlPr>
                          <a:rPr lang="es-CO" sz="1050" b="1" i="1">
                            <a:latin typeface="Cambria Math" panose="02040503050406030204" pitchFamily="18" charset="0"/>
                          </a:rPr>
                        </m:ctrlPr>
                      </m:barPr>
                      <m:e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𝐕𝐢</m:t>
                        </m:r>
                      </m:e>
                    </m:bar>
                    <m:r>
                      <a:rPr lang="es-CO" sz="1050" b="1" i="0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s-CO" sz="1050" b="1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s-CO" sz="1050" b="1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𝟎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.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𝟐</m:t>
                            </m:r>
                          </m:sub>
                        </m:sSub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+</m:t>
                        </m:r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𝟐</m:t>
                        </m:r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∗</m:t>
                        </m:r>
                        <m:sSub>
                          <m:sSubPr>
                            <m:ctrlPr>
                              <a:rPr lang="es-CO" sz="1050" b="1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𝟎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.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𝟒</m:t>
                            </m:r>
                          </m:sub>
                        </m:sSub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+</m:t>
                        </m:r>
                        <m:sSub>
                          <m:sSubPr>
                            <m:ctrlPr>
                              <a:rPr lang="es-CO" sz="1050" b="1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𝟎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.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𝟖</m:t>
                            </m:r>
                          </m:sub>
                        </m:sSub>
                      </m:num>
                      <m:den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𝟒</m:t>
                        </m:r>
                      </m:den>
                    </m:f>
                  </m:oMath>
                </m:oMathPara>
              </a14:m>
              <a:endParaRPr lang="es-CO" sz="1050" b="1" i="0"/>
            </a:p>
          </xdr:txBody>
        </xdr:sp>
      </mc:Choice>
      <mc:Fallback xmlns="">
        <xdr:sp macro="" textlink="">
          <xdr:nvSpPr>
            <xdr:cNvPr id="11" name="CuadroTexto 15">
              <a:extLst>
                <a:ext uri="{FF2B5EF4-FFF2-40B4-BE49-F238E27FC236}">
                  <a16:creationId xmlns:a16="http://schemas.microsoft.com/office/drawing/2014/main" id="{14D38863-A958-44A1-BF80-1962F5ABE349}"/>
                </a:ext>
              </a:extLst>
            </xdr:cNvPr>
            <xdr:cNvSpPr txBox="1"/>
          </xdr:nvSpPr>
          <xdr:spPr>
            <a:xfrm>
              <a:off x="2783973" y="19557020"/>
              <a:ext cx="1519198" cy="30251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050" b="1" i="0">
                  <a:latin typeface="Cambria Math" panose="02040503050406030204" pitchFamily="18" charset="0"/>
                </a:rPr>
                <a:t>¯𝐕𝐢=(𝐕_(𝟎.𝟐)+𝟐∗𝐕_(𝟎.𝟒)+𝐕_(𝟎.𝟖))/𝟒</a:t>
              </a:r>
              <a:endParaRPr lang="es-CO" sz="1050" b="1" i="0"/>
            </a:p>
          </xdr:txBody>
        </xdr:sp>
      </mc:Fallback>
    </mc:AlternateContent>
    <xdr:clientData/>
  </xdr:oneCellAnchor>
  <xdr:oneCellAnchor>
    <xdr:from>
      <xdr:col>4</xdr:col>
      <xdr:colOff>455076</xdr:colOff>
      <xdr:row>106</xdr:row>
      <xdr:rowOff>110032</xdr:rowOff>
    </xdr:from>
    <xdr:ext cx="4086888" cy="30867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" name="32 CuadroTexto">
              <a:extLst>
                <a:ext uri="{FF2B5EF4-FFF2-40B4-BE49-F238E27FC236}">
                  <a16:creationId xmlns:a16="http://schemas.microsoft.com/office/drawing/2014/main" id="{47CA8606-176C-4751-B053-DDBCF697BD59}"/>
                </a:ext>
              </a:extLst>
            </xdr:cNvPr>
            <xdr:cNvSpPr txBox="1"/>
          </xdr:nvSpPr>
          <xdr:spPr>
            <a:xfrm>
              <a:off x="2531526" y="20093482"/>
              <a:ext cx="4086888" cy="30867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indent="0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bar>
                      <m:barPr>
                        <m:pos m:val="top"/>
                        <m:ctrlPr>
                          <a:rPr lang="es-CO" sz="1050" b="1" i="1">
                            <a:solidFill>
                              <a:sysClr val="windowText" lastClr="000000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barPr>
                      <m:e>
                        <m:r>
                          <a:rPr lang="es-CO" sz="1050" b="1" i="0">
                            <a:solidFill>
                              <a:sysClr val="windowText" lastClr="000000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𝐕𝐢</m:t>
                        </m:r>
                      </m:e>
                    </m:bar>
                    <m:r>
                      <a:rPr lang="es-ES" sz="1050" b="1" i="0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s-ES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𝟏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𝟐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𝟑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𝟒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𝟓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𝟔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sSub>
                              <m:sSubPr>
                                <m:ctrlPr>
                                  <a:rPr lang="es-ES" sz="1050" b="1" i="1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𝐕</m:t>
                                </m:r>
                              </m:e>
                              <m:sub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𝟎</m:t>
                                </m:r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.</m:t>
                                </m:r>
                                <m:r>
                                  <a:rPr lang="es-CO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𝟕</m:t>
                                </m:r>
                              </m:sub>
                            </m:s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sSub>
                              <m:sSubPr>
                                <m:ctrlPr>
                                  <a:rPr lang="es-ES" sz="1050" b="1" i="1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𝐕</m:t>
                                </m:r>
                              </m:e>
                              <m:sub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𝟎</m:t>
                                </m:r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.</m:t>
                                </m:r>
                                <m:r>
                                  <a:rPr lang="es-CO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𝟖</m:t>
                                </m:r>
                              </m:sub>
                            </m:s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sSub>
                              <m:sSubPr>
                                <m:ctrlPr>
                                  <a:rPr lang="es-ES" sz="1050" b="1" i="1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𝐕</m:t>
                                </m:r>
                              </m:e>
                              <m:sub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𝟎</m:t>
                                </m:r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.</m:t>
                                </m:r>
                                <m:r>
                                  <a:rPr lang="es-CO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𝟗</m:t>
                                </m:r>
                              </m:sub>
                            </m:s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𝐬𝐮𝐩𝐟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 </m:t>
                            </m:r>
                          </m:sub>
                        </m:sSub>
                      </m:num>
                      <m:den>
                        <m:r>
                          <a:rPr lang="es-CO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𝟏𝟎</m:t>
                        </m:r>
                      </m:den>
                    </m:f>
                    <m:r>
                      <a:rPr lang="es-ES" sz="1050" b="1" i="0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</m:oMath>
                </m:oMathPara>
              </a14:m>
              <a:endParaRPr lang="es-ES" sz="1050" b="1" i="0">
                <a:solidFill>
                  <a:sysClr val="windowText" lastClr="000000"/>
                </a:solidFill>
                <a:latin typeface="Cambria Math" panose="02040503050406030204" pitchFamily="18" charset="0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2" name="32 CuadroTexto">
              <a:extLst>
                <a:ext uri="{FF2B5EF4-FFF2-40B4-BE49-F238E27FC236}">
                  <a16:creationId xmlns:a16="http://schemas.microsoft.com/office/drawing/2014/main" id="{47CA8606-176C-4751-B053-DDBCF697BD59}"/>
                </a:ext>
              </a:extLst>
            </xdr:cNvPr>
            <xdr:cNvSpPr txBox="1"/>
          </xdr:nvSpPr>
          <xdr:spPr>
            <a:xfrm>
              <a:off x="2531526" y="20093482"/>
              <a:ext cx="4086888" cy="30867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indent="0"/>
              <a:r>
                <a:rPr lang="es-CO" sz="1050" b="1" i="0">
                  <a:solidFill>
                    <a:sysClr val="windowText" lastClr="00000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¯𝐕𝐢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=(𝐕_(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𝟎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𝟏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𝟎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𝟐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𝟎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𝟑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)+𝐕_(𝟎.𝟒)+𝐕_(𝟎.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𝟓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)+𝐕_(𝟎.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𝟔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)+〖𝐕_(𝟎.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𝟕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)+𝐕_(𝟎.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𝟖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)+𝐕_(𝟎.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𝟗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)+𝐕〗_(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𝐬𝐮𝐩𝐟 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))/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𝟏𝟎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  </a:t>
              </a:r>
            </a:p>
          </xdr:txBody>
        </xdr:sp>
      </mc:Fallback>
    </mc:AlternateContent>
    <xdr:clientData/>
  </xdr:oneCellAnchor>
  <xdr:oneCellAnchor>
    <xdr:from>
      <xdr:col>10</xdr:col>
      <xdr:colOff>342110</xdr:colOff>
      <xdr:row>106</xdr:row>
      <xdr:rowOff>62344</xdr:rowOff>
    </xdr:from>
    <xdr:ext cx="1313516" cy="35502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" name="20 CuadroTexto">
              <a:extLst>
                <a:ext uri="{FF2B5EF4-FFF2-40B4-BE49-F238E27FC236}">
                  <a16:creationId xmlns:a16="http://schemas.microsoft.com/office/drawing/2014/main" id="{B890F03E-4165-4DE0-9AFB-4A22B6951804}"/>
                </a:ext>
              </a:extLst>
            </xdr:cNvPr>
            <xdr:cNvSpPr txBox="1"/>
          </xdr:nvSpPr>
          <xdr:spPr>
            <a:xfrm>
              <a:off x="6704810" y="20045794"/>
              <a:ext cx="1313516" cy="35502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𝐀𝐢</m:t>
                    </m:r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s-CO" sz="105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s-CO" sz="105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(</m:t>
                            </m:r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𝐡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𝐢</m:t>
                            </m:r>
                          </m:sub>
                        </m:sSub>
                        <m:r>
                          <a:rPr lang="es-CO" sz="105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CO" sz="105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𝐡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𝐢</m:t>
                            </m:r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𝟏</m:t>
                            </m:r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 </m:t>
                            </m:r>
                          </m:sub>
                        </m:sSub>
                        <m:r>
                          <a:rPr lang="es-CO" sz="105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)</m:t>
                        </m:r>
                        <m:r>
                          <a:rPr lang="es-ES" sz="1050" b="1" i="0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∗</m:t>
                        </m:r>
                        <m:r>
                          <a:rPr lang="es-CO" sz="105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𝐛</m:t>
                        </m:r>
                      </m:num>
                      <m:den>
                        <m:r>
                          <a:rPr lang="es-CO" sz="105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𝟐</m:t>
                        </m:r>
                      </m:den>
                    </m:f>
                  </m:oMath>
                </m:oMathPara>
              </a14:m>
              <a:endParaRPr lang="es-ES" sz="1050" b="1" i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3" name="20 CuadroTexto">
              <a:extLst>
                <a:ext uri="{FF2B5EF4-FFF2-40B4-BE49-F238E27FC236}">
                  <a16:creationId xmlns:a16="http://schemas.microsoft.com/office/drawing/2014/main" id="{B890F03E-4165-4DE0-9AFB-4A22B6951804}"/>
                </a:ext>
              </a:extLst>
            </xdr:cNvPr>
            <xdr:cNvSpPr txBox="1"/>
          </xdr:nvSpPr>
          <xdr:spPr>
            <a:xfrm>
              <a:off x="6704810" y="20045794"/>
              <a:ext cx="1313516" cy="35502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pPr/>
              <a:r>
                <a:rPr lang="es-ES" sz="105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𝐀𝐢=</a:t>
              </a:r>
              <a:r>
                <a:rPr lang="es-CO" sz="105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(〖(𝐡〗_𝐢+𝐡_(𝐢+𝟏 ))</a:t>
              </a:r>
              <a:r>
                <a:rPr lang="es-ES" sz="105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∗</a:t>
              </a:r>
              <a:r>
                <a:rPr lang="es-CO" sz="105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𝐛)/𝟐</a:t>
              </a:r>
              <a:endParaRPr lang="es-ES" sz="1050" b="1" i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14</xdr:col>
      <xdr:colOff>263225</xdr:colOff>
      <xdr:row>106</xdr:row>
      <xdr:rowOff>133481</xdr:rowOff>
    </xdr:from>
    <xdr:ext cx="1059883" cy="27982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" name="19 CuadroTexto">
              <a:extLst>
                <a:ext uri="{FF2B5EF4-FFF2-40B4-BE49-F238E27FC236}">
                  <a16:creationId xmlns:a16="http://schemas.microsoft.com/office/drawing/2014/main" id="{4B78248E-C7BB-4DE6-B215-EE8384164C2D}"/>
                </a:ext>
              </a:extLst>
            </xdr:cNvPr>
            <xdr:cNvSpPr txBox="1"/>
          </xdr:nvSpPr>
          <xdr:spPr>
            <a:xfrm>
              <a:off x="9483425" y="20116931"/>
              <a:ext cx="1059883" cy="2798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𝐐𝐢</m:t>
                    </m:r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=</m:t>
                    </m:r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𝐀𝐢</m:t>
                    </m:r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∗</m:t>
                    </m:r>
                    <m:bar>
                      <m:barPr>
                        <m:pos m:val="top"/>
                        <m:ctrlPr>
                          <a:rPr lang="es-CO" sz="105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barPr>
                      <m:e>
                        <m:r>
                          <a:rPr lang="es-CO" sz="105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𝐕𝐢</m:t>
                        </m:r>
                      </m:e>
                    </m:bar>
                  </m:oMath>
                </m:oMathPara>
              </a14:m>
              <a:endParaRPr lang="es-ES" sz="1050" b="1" i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4" name="19 CuadroTexto">
              <a:extLst>
                <a:ext uri="{FF2B5EF4-FFF2-40B4-BE49-F238E27FC236}">
                  <a16:creationId xmlns:a16="http://schemas.microsoft.com/office/drawing/2014/main" id="{4B78248E-C7BB-4DE6-B215-EE8384164C2D}"/>
                </a:ext>
              </a:extLst>
            </xdr:cNvPr>
            <xdr:cNvSpPr txBox="1"/>
          </xdr:nvSpPr>
          <xdr:spPr>
            <a:xfrm>
              <a:off x="9483425" y="20116931"/>
              <a:ext cx="1059883" cy="2798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lang="es-ES" sz="105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𝐐𝐢=𝐀𝐢∗</a:t>
              </a:r>
              <a:r>
                <a:rPr lang="es-CO" sz="105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¯𝐕𝐢</a:t>
              </a:r>
              <a:endParaRPr lang="es-ES" sz="1050" b="1" i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2</xdr:col>
      <xdr:colOff>311720</xdr:colOff>
      <xdr:row>106</xdr:row>
      <xdr:rowOff>102839</xdr:rowOff>
    </xdr:from>
    <xdr:ext cx="1058367" cy="32836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" name="CuadroTexto 19">
              <a:extLst>
                <a:ext uri="{FF2B5EF4-FFF2-40B4-BE49-F238E27FC236}">
                  <a16:creationId xmlns:a16="http://schemas.microsoft.com/office/drawing/2014/main" id="{756197F7-E6FE-49DD-AEE2-CFBBF99A9C66}"/>
                </a:ext>
              </a:extLst>
            </xdr:cNvPr>
            <xdr:cNvSpPr txBox="1"/>
          </xdr:nvSpPr>
          <xdr:spPr>
            <a:xfrm>
              <a:off x="959420" y="20086289"/>
              <a:ext cx="1058367" cy="3283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CO" sz="1050" b="1" i="0" u="none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𝐐</m:t>
                    </m:r>
                    <m:d>
                      <m:dPr>
                        <m:begChr m:val="["/>
                        <m:endChr m:val="]"/>
                        <m:ctrlPr>
                          <a:rPr lang="es-CO" sz="1050" b="1" i="1" u="none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s-CO" sz="1050" b="1" i="0" u="none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%</m:t>
                        </m:r>
                      </m:e>
                    </m:d>
                    <m:r>
                      <a:rPr lang="es-CO" sz="1050" b="1" i="0" u="none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= </m:t>
                    </m:r>
                    <m:f>
                      <m:fPr>
                        <m:ctrlPr>
                          <a:rPr lang="es-CO" sz="1050" b="1" i="1" u="none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s-CO" sz="1050" b="1" i="0" u="none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𝐐𝐢</m:t>
                        </m:r>
                      </m:num>
                      <m:den>
                        <m:r>
                          <a:rPr lang="es-CO" sz="1050" b="1" i="0" u="none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𝐐𝐭</m:t>
                        </m:r>
                      </m:den>
                    </m:f>
                    <m:r>
                      <a:rPr lang="es-CO" sz="1050" b="1" i="1" u="none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∗</m:t>
                    </m:r>
                    <m:r>
                      <a:rPr lang="es-CO" sz="1050" b="1" i="1" u="none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𝟏𝟎𝟎</m:t>
                    </m:r>
                  </m:oMath>
                </m:oMathPara>
              </a14:m>
              <a:endParaRPr lang="es-CO" sz="1050" b="1" i="0" u="none">
                <a:solidFill>
                  <a:sysClr val="windowText" lastClr="000000"/>
                </a:solidFill>
              </a:endParaRPr>
            </a:p>
          </xdr:txBody>
        </xdr:sp>
      </mc:Choice>
      <mc:Fallback xmlns="">
        <xdr:sp macro="" textlink="">
          <xdr:nvSpPr>
            <xdr:cNvPr id="15" name="CuadroTexto 19">
              <a:extLst>
                <a:ext uri="{FF2B5EF4-FFF2-40B4-BE49-F238E27FC236}">
                  <a16:creationId xmlns:a16="http://schemas.microsoft.com/office/drawing/2014/main" id="{756197F7-E6FE-49DD-AEE2-CFBBF99A9C66}"/>
                </a:ext>
              </a:extLst>
            </xdr:cNvPr>
            <xdr:cNvSpPr txBox="1"/>
          </xdr:nvSpPr>
          <xdr:spPr>
            <a:xfrm>
              <a:off x="959420" y="20086289"/>
              <a:ext cx="1058367" cy="3283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050" b="1" i="0" u="none">
                  <a:solidFill>
                    <a:sysClr val="windowText" lastClr="000000"/>
                  </a:solidFill>
                  <a:latin typeface="Cambria Math" panose="02040503050406030204" pitchFamily="18" charset="0"/>
                </a:rPr>
                <a:t>𝐐[%]=  𝐐𝐢/𝐐𝐭∗𝟏𝟎𝟎</a:t>
              </a:r>
              <a:endParaRPr lang="es-CO" sz="1050" b="1" i="0" u="none">
                <a:solidFill>
                  <a:sysClr val="windowText" lastClr="000000"/>
                </a:solidFill>
              </a:endParaRPr>
            </a:p>
          </xdr:txBody>
        </xdr:sp>
      </mc:Fallback>
    </mc:AlternateContent>
    <xdr:clientData/>
  </xdr:oneCellAnchor>
  <xdr:oneCellAnchor>
    <xdr:from>
      <xdr:col>12</xdr:col>
      <xdr:colOff>436291</xdr:colOff>
      <xdr:row>106</xdr:row>
      <xdr:rowOff>129757</xdr:rowOff>
    </xdr:from>
    <xdr:ext cx="907300" cy="3179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" name="CuadroTexto 20">
              <a:extLst>
                <a:ext uri="{FF2B5EF4-FFF2-40B4-BE49-F238E27FC236}">
                  <a16:creationId xmlns:a16="http://schemas.microsoft.com/office/drawing/2014/main" id="{E35B2A1D-33C4-4A4B-A9DE-2E22C5485924}"/>
                </a:ext>
              </a:extLst>
            </xdr:cNvPr>
            <xdr:cNvSpPr txBox="1"/>
          </xdr:nvSpPr>
          <xdr:spPr>
            <a:xfrm>
              <a:off x="8227741" y="20113207"/>
              <a:ext cx="907300" cy="3179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indent="0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CO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𝑽𝒎𝒆𝒅𝒊𝒂</m:t>
                    </m:r>
                    <m:r>
                      <a:rPr lang="es-CO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s-CO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es-CO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𝑸𝒕</m:t>
                        </m:r>
                      </m:num>
                      <m:den>
                        <m:r>
                          <a:rPr lang="es-CO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𝑨𝒊</m:t>
                        </m:r>
                      </m:den>
                    </m:f>
                  </m:oMath>
                </m:oMathPara>
              </a14:m>
              <a:endParaRPr lang="es-CO" sz="1100" b="1" i="1">
                <a:solidFill>
                  <a:schemeClr val="tx1"/>
                </a:solidFill>
                <a:effectLst/>
                <a:latin typeface="Cambria Math" panose="02040503050406030204" pitchFamily="18" charset="0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6" name="CuadroTexto 20">
              <a:extLst>
                <a:ext uri="{FF2B5EF4-FFF2-40B4-BE49-F238E27FC236}">
                  <a16:creationId xmlns:a16="http://schemas.microsoft.com/office/drawing/2014/main" id="{E35B2A1D-33C4-4A4B-A9DE-2E22C5485924}"/>
                </a:ext>
              </a:extLst>
            </xdr:cNvPr>
            <xdr:cNvSpPr txBox="1"/>
          </xdr:nvSpPr>
          <xdr:spPr>
            <a:xfrm>
              <a:off x="8227741" y="20113207"/>
              <a:ext cx="907300" cy="3179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indent="0"/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𝑽𝒎𝒆𝒅𝒊𝒂=𝑸𝒕/𝑨𝒊</a:t>
              </a:r>
              <a:endParaRPr lang="es-CO" sz="1100" b="1" i="1">
                <a:solidFill>
                  <a:schemeClr val="tx1"/>
                </a:solidFill>
                <a:effectLst/>
                <a:latin typeface="Cambria Math" panose="02040503050406030204" pitchFamily="18" charset="0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8</xdr:col>
      <xdr:colOff>56087</xdr:colOff>
      <xdr:row>103</xdr:row>
      <xdr:rowOff>56351</xdr:rowOff>
    </xdr:from>
    <xdr:ext cx="1322606" cy="3424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" name="CuadroTexto 21">
              <a:extLst>
                <a:ext uri="{FF2B5EF4-FFF2-40B4-BE49-F238E27FC236}">
                  <a16:creationId xmlns:a16="http://schemas.microsoft.com/office/drawing/2014/main" id="{0E94871D-9018-4FB9-936B-0E0BFD977424}"/>
                </a:ext>
              </a:extLst>
            </xdr:cNvPr>
            <xdr:cNvSpPr txBox="1"/>
          </xdr:nvSpPr>
          <xdr:spPr>
            <a:xfrm>
              <a:off x="4990037" y="19525451"/>
              <a:ext cx="1322606" cy="3424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acc>
                      <m:accPr>
                        <m:chr m:val="̅"/>
                        <m:ctrlPr>
                          <a:rPr lang="es-CO" sz="1000" b="1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sSub>
                          <m:sSubPr>
                            <m:ctrlPr>
                              <a:rPr lang="es-CO" sz="1000" b="1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CO" sz="1000" b="1" i="1">
                                <a:latin typeface="Cambria Math" panose="02040503050406030204" pitchFamily="18" charset="0"/>
                              </a:rPr>
                              <m:t>𝑽</m:t>
                            </m:r>
                          </m:e>
                          <m:sub>
                            <m:r>
                              <a:rPr lang="es-CO" sz="1000" b="1" i="1">
                                <a:latin typeface="Cambria Math" panose="02040503050406030204" pitchFamily="18" charset="0"/>
                              </a:rPr>
                              <m:t>𝒊</m:t>
                            </m:r>
                          </m:sub>
                        </m:sSub>
                      </m:e>
                    </m:acc>
                    <m:d>
                      <m:dPr>
                        <m:begChr m:val="["/>
                        <m:endChr m:val="]"/>
                        <m:ctrlPr>
                          <a:rPr lang="es-CO" sz="1000" b="1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f>
                          <m:fPr>
                            <m:ctrlPr>
                              <a:rPr lang="es-CO" sz="1000" b="1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s-CO" sz="1000" b="1" i="1">
                                <a:latin typeface="Cambria Math" panose="02040503050406030204" pitchFamily="18" charset="0"/>
                              </a:rPr>
                              <m:t>𝒇𝒕</m:t>
                            </m:r>
                          </m:num>
                          <m:den>
                            <m:r>
                              <a:rPr lang="es-CO" sz="1000" b="1" i="1">
                                <a:latin typeface="Cambria Math" panose="02040503050406030204" pitchFamily="18" charset="0"/>
                              </a:rPr>
                              <m:t>𝒔</m:t>
                            </m:r>
                          </m:den>
                        </m:f>
                      </m:e>
                    </m:d>
                    <m:r>
                      <a:rPr lang="es-CO" sz="1000" b="1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s-CO" sz="1000" b="1" i="1">
                        <a:latin typeface="Cambria Math" panose="02040503050406030204" pitchFamily="18" charset="0"/>
                      </a:rPr>
                      <m:t>𝟑</m:t>
                    </m:r>
                    <m:r>
                      <a:rPr lang="es-CO" sz="1000" b="1" i="1">
                        <a:latin typeface="Cambria Math" panose="02040503050406030204" pitchFamily="18" charset="0"/>
                      </a:rPr>
                      <m:t>,</m:t>
                    </m:r>
                    <m:r>
                      <a:rPr lang="es-CO" sz="1000" b="1" i="1">
                        <a:latin typeface="Cambria Math" panose="02040503050406030204" pitchFamily="18" charset="0"/>
                      </a:rPr>
                      <m:t>𝟐𝟖</m:t>
                    </m:r>
                    <m:r>
                      <a:rPr lang="es-CO" sz="1000" b="1" i="1">
                        <a:latin typeface="Cambria Math" panose="02040503050406030204" pitchFamily="18" charset="0"/>
                      </a:rPr>
                      <m:t>∗</m:t>
                    </m:r>
                    <m:acc>
                      <m:accPr>
                        <m:chr m:val="̅"/>
                        <m:ctrlPr>
                          <a:rPr lang="es-CO" sz="10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accPr>
                      <m:e>
                        <m:sSub>
                          <m:sSubPr>
                            <m:ctrlP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𝑽</m:t>
                            </m:r>
                          </m:e>
                          <m:sub>
                            <m: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𝒊</m:t>
                            </m:r>
                          </m:sub>
                        </m:sSub>
                      </m:e>
                    </m:acc>
                    <m:d>
                      <m:dPr>
                        <m:begChr m:val="["/>
                        <m:endChr m:val="]"/>
                        <m:ctrlPr>
                          <a:rPr lang="es-CO" sz="10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dPr>
                      <m:e>
                        <m:f>
                          <m:fPr>
                            <m:ctrlP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fPr>
                          <m:num>
                            <m: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𝒎</m:t>
                            </m:r>
                          </m:num>
                          <m:den>
                            <m: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𝒔</m:t>
                            </m:r>
                          </m:den>
                        </m:f>
                      </m:e>
                    </m:d>
                  </m:oMath>
                </m:oMathPara>
              </a14:m>
              <a:endParaRPr lang="es-CO" sz="1000" b="1" i="0"/>
            </a:p>
          </xdr:txBody>
        </xdr:sp>
      </mc:Choice>
      <mc:Fallback xmlns="">
        <xdr:sp macro="" textlink="">
          <xdr:nvSpPr>
            <xdr:cNvPr id="17" name="CuadroTexto 21">
              <a:extLst>
                <a:ext uri="{FF2B5EF4-FFF2-40B4-BE49-F238E27FC236}">
                  <a16:creationId xmlns:a16="http://schemas.microsoft.com/office/drawing/2014/main" id="{0E94871D-9018-4FB9-936B-0E0BFD977424}"/>
                </a:ext>
              </a:extLst>
            </xdr:cNvPr>
            <xdr:cNvSpPr txBox="1"/>
          </xdr:nvSpPr>
          <xdr:spPr>
            <a:xfrm>
              <a:off x="4990037" y="19525451"/>
              <a:ext cx="1322606" cy="3424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000" b="1" i="0">
                  <a:latin typeface="Cambria Math" panose="02040503050406030204" pitchFamily="18" charset="0"/>
                </a:rPr>
                <a:t>(𝑽_𝒊 ) ̅[𝒇𝒕/𝒔]=𝟑,𝟐𝟖∗</a:t>
              </a:r>
              <a:r>
                <a:rPr lang="es-CO" sz="10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(𝑽_𝒊 ) ̅[𝒎/𝒔]</a:t>
              </a:r>
              <a:endParaRPr lang="es-CO" sz="1000" b="1" i="0"/>
            </a:p>
          </xdr:txBody>
        </xdr:sp>
      </mc:Fallback>
    </mc:AlternateContent>
    <xdr:clientData/>
  </xdr:oneCellAnchor>
  <xdr:oneCellAnchor>
    <xdr:from>
      <xdr:col>2</xdr:col>
      <xdr:colOff>96182</xdr:colOff>
      <xdr:row>103</xdr:row>
      <xdr:rowOff>41166</xdr:rowOff>
    </xdr:from>
    <xdr:ext cx="1500411" cy="3429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" name="CuadroTexto 23">
              <a:extLst>
                <a:ext uri="{FF2B5EF4-FFF2-40B4-BE49-F238E27FC236}">
                  <a16:creationId xmlns:a16="http://schemas.microsoft.com/office/drawing/2014/main" id="{DF4E5537-3FC9-4C1C-AAD2-18E7D998A2C4}"/>
                </a:ext>
              </a:extLst>
            </xdr:cNvPr>
            <xdr:cNvSpPr txBox="1"/>
          </xdr:nvSpPr>
          <xdr:spPr>
            <a:xfrm>
              <a:off x="743882" y="19510266"/>
              <a:ext cx="1500411" cy="3429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d>
                      <m:dPr>
                        <m:begChr m:val="["/>
                        <m:endChr m:val="]"/>
                        <m:ctrlP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s-CO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𝐑𝐩𝐦</m:t>
                        </m:r>
                      </m:e>
                    </m:d>
                    <m:r>
                      <a:rPr lang="es-CO" sz="1050" b="1" i="1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d>
                          <m:dPr>
                            <m:begChr m:val="["/>
                            <m:endChr m:val="]"/>
                            <m:ctrlPr>
                              <a:rPr lang="es-CO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s-CO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  <m:t>𝑹𝒆𝒗</m:t>
                            </m:r>
                          </m:e>
                        </m:d>
                      </m:num>
                      <m:den>
                        <m:r>
                          <a:rPr lang="es-CO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𝐭𝐜</m:t>
                        </m:r>
                        <m:d>
                          <m:dPr>
                            <m:begChr m:val="["/>
                            <m:endChr m:val="]"/>
                            <m:ctrlPr>
                              <a:rPr lang="es-CO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s-CO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  <m:t>𝒔</m:t>
                            </m:r>
                          </m:e>
                        </m:d>
                      </m:den>
                    </m:f>
                    <m:r>
                      <a:rPr lang="es-CO" sz="1050" b="1" i="1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∗</m:t>
                    </m:r>
                    <m:f>
                      <m:fPr>
                        <m:ctrlP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𝟔𝟎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 [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𝒔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]</m:t>
                        </m:r>
                      </m:num>
                      <m:den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𝟏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[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𝒎𝒊𝒏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]</m:t>
                        </m:r>
                      </m:den>
                    </m:f>
                  </m:oMath>
                </m:oMathPara>
              </a14:m>
              <a:endParaRPr lang="es-CO" sz="1050" b="1" i="0">
                <a:solidFill>
                  <a:sysClr val="windowText" lastClr="000000"/>
                </a:solidFill>
              </a:endParaRPr>
            </a:p>
          </xdr:txBody>
        </xdr:sp>
      </mc:Choice>
      <mc:Fallback xmlns="">
        <xdr:sp macro="" textlink="">
          <xdr:nvSpPr>
            <xdr:cNvPr id="18" name="CuadroTexto 23">
              <a:extLst>
                <a:ext uri="{FF2B5EF4-FFF2-40B4-BE49-F238E27FC236}">
                  <a16:creationId xmlns:a16="http://schemas.microsoft.com/office/drawing/2014/main" id="{DF4E5537-3FC9-4C1C-AAD2-18E7D998A2C4}"/>
                </a:ext>
              </a:extLst>
            </xdr:cNvPr>
            <xdr:cNvSpPr txBox="1"/>
          </xdr:nvSpPr>
          <xdr:spPr>
            <a:xfrm>
              <a:off x="743882" y="19510266"/>
              <a:ext cx="1500411" cy="3429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</a:rPr>
                <a:t>[𝐑𝐩𝐦]=[𝑹𝒆𝒗]/𝐭𝐜[𝒔] ∗(𝟔𝟎 [𝒔])/(𝟏[𝒎𝒊𝒏])</a:t>
              </a:r>
              <a:endParaRPr lang="es-CO" sz="1050" b="1" i="0">
                <a:solidFill>
                  <a:sysClr val="windowText" lastClr="000000"/>
                </a:solidFill>
              </a:endParaRPr>
            </a:p>
          </xdr:txBody>
        </xdr:sp>
      </mc:Fallback>
    </mc:AlternateContent>
    <xdr:clientData/>
  </xdr:oneCellAnchor>
  <xdr:oneCellAnchor>
    <xdr:from>
      <xdr:col>10</xdr:col>
      <xdr:colOff>553512</xdr:colOff>
      <xdr:row>103</xdr:row>
      <xdr:rowOff>135078</xdr:rowOff>
    </xdr:from>
    <xdr:ext cx="3601499" cy="34637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" name="21 CuadroTexto">
              <a:extLst>
                <a:ext uri="{FF2B5EF4-FFF2-40B4-BE49-F238E27FC236}">
                  <a16:creationId xmlns:a16="http://schemas.microsoft.com/office/drawing/2014/main" id="{47CA8606-176C-4751-B053-DDBCF697BD59}"/>
                </a:ext>
              </a:extLst>
            </xdr:cNvPr>
            <xdr:cNvSpPr txBox="1"/>
          </xdr:nvSpPr>
          <xdr:spPr>
            <a:xfrm>
              <a:off x="6916212" y="19604178"/>
              <a:ext cx="3601499" cy="34637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 xmlns:m="http://schemas.openxmlformats.org/officeDocument/2006/math">
                  <m:acc>
                    <m:accPr>
                      <m:chr m:val="̅"/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accPr>
                    <m:e>
                      <m:sSub>
                        <m:sSubPr>
                          <m:ctrlPr>
                            <a:rPr lang="es-CO" sz="1100" b="1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sSubPr>
                        <m:e>
                          <m:r>
                            <a:rPr lang="es-CO" sz="1100" b="1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𝑽</m:t>
                          </m:r>
                        </m:e>
                        <m:sub>
                          <m:r>
                            <a:rPr lang="es-CO" sz="1100" b="1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𝒊</m:t>
                          </m:r>
                        </m:sub>
                      </m:sSub>
                    </m:e>
                  </m:acc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=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𝟎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.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𝟏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∗(</m:t>
                  </m:r>
                  <m:sSub>
                    <m:sSubPr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𝑽</m:t>
                      </m:r>
                    </m:e>
                    <m:sub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𝒔𝒖𝒑𝒇</m:t>
                      </m:r>
                    </m:sub>
                  </m:sSub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+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𝟑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∗</m:t>
                  </m:r>
                  <m:sSub>
                    <m:sSubPr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𝑽</m:t>
                      </m:r>
                    </m:e>
                    <m:sub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𝟎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.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𝟐</m:t>
                      </m:r>
                    </m:sub>
                  </m:sSub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+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𝟑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∗</m:t>
                  </m:r>
                  <m:sSub>
                    <m:sSubPr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𝑽</m:t>
                      </m:r>
                    </m:e>
                    <m:sub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𝟎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.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𝟔</m:t>
                      </m:r>
                    </m:sub>
                  </m:sSub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+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𝟐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∗</m:t>
                  </m:r>
                  <m:sSub>
                    <m:sSubPr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𝑽</m:t>
                      </m:r>
                    </m:e>
                    <m:sub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𝟎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.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𝟖</m:t>
                      </m:r>
                    </m:sub>
                  </m:sSub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+</m:t>
                  </m:r>
                  <m:sSub>
                    <m:sSubPr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𝑽</m:t>
                      </m:r>
                    </m:e>
                    <m:sub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𝒍𝒆𝒄𝒉𝒐</m:t>
                      </m:r>
                    </m:sub>
                  </m:sSub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)</m:t>
                  </m:r>
                </m:oMath>
              </a14:m>
              <a:r>
                <a:rPr lang="es-CO" sz="1100" b="1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 </a:t>
              </a:r>
            </a:p>
            <a:p>
              <a:pPr marL="0" indent="0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ES" sz="1050" b="1" i="0">
                        <a:solidFill>
                          <a:schemeClr val="tx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</m:oMath>
                </m:oMathPara>
              </a14:m>
              <a:endParaRPr lang="es-ES" sz="1050" b="1" i="0">
                <a:solidFill>
                  <a:schemeClr val="tx1"/>
                </a:solidFill>
                <a:latin typeface="Cambria Math" panose="02040503050406030204" pitchFamily="18" charset="0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9" name="21 CuadroTexto">
              <a:extLst>
                <a:ext uri="{FF2B5EF4-FFF2-40B4-BE49-F238E27FC236}">
                  <a16:creationId xmlns:a16="http://schemas.microsoft.com/office/drawing/2014/main" id="{47CA8606-176C-4751-B053-DDBCF697BD59}"/>
                </a:ext>
              </a:extLst>
            </xdr:cNvPr>
            <xdr:cNvSpPr txBox="1"/>
          </xdr:nvSpPr>
          <xdr:spPr>
            <a:xfrm>
              <a:off x="6916212" y="19604178"/>
              <a:ext cx="3601499" cy="34637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(𝑽_𝒊 ) ̅=𝟎.𝟏∗(𝑽_𝒔𝒖𝒑𝒇+𝟑∗𝑽_(𝟎.𝟐)+𝟑∗𝑽_(𝟎.𝟔)+𝟐∗𝑽_(𝟎.𝟖)+𝑽_𝒍𝒆𝒄𝒉𝒐)</a:t>
              </a:r>
              <a:r>
                <a:rPr lang="es-CO" sz="1100" b="1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 </a:t>
              </a:r>
            </a:p>
            <a:p>
              <a:pPr marL="0" indent="0"/>
              <a:r>
                <a:rPr lang="es-ES" sz="1050" b="1" i="0">
                  <a:solidFill>
                    <a:schemeClr val="tx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 </a:t>
              </a:r>
            </a:p>
          </xdr:txBody>
        </xdr:sp>
      </mc:Fallback>
    </mc:AlternateContent>
    <xdr:clientData/>
  </xdr:oneCellAnchor>
  <xdr:twoCellAnchor editAs="oneCell">
    <xdr:from>
      <xdr:col>1</xdr:col>
      <xdr:colOff>259553</xdr:colOff>
      <xdr:row>1</xdr:row>
      <xdr:rowOff>26968</xdr:rowOff>
    </xdr:from>
    <xdr:to>
      <xdr:col>3</xdr:col>
      <xdr:colOff>402428</xdr:colOff>
      <xdr:row>2</xdr:row>
      <xdr:rowOff>273501</xdr:rowOff>
    </xdr:to>
    <xdr:pic>
      <xdr:nvPicPr>
        <xdr:cNvPr id="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271459" y="86499"/>
          <a:ext cx="1500188" cy="627533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</xdr:pic>
    <xdr:clientData/>
  </xdr:twoCellAnchor>
  <xdr:twoCellAnchor editAs="oneCell">
    <xdr:from>
      <xdr:col>14</xdr:col>
      <xdr:colOff>394642</xdr:colOff>
      <xdr:row>1</xdr:row>
      <xdr:rowOff>38100</xdr:rowOff>
    </xdr:from>
    <xdr:to>
      <xdr:col>15</xdr:col>
      <xdr:colOff>350544</xdr:colOff>
      <xdr:row>2</xdr:row>
      <xdr:rowOff>247650</xdr:rowOff>
    </xdr:to>
    <xdr:pic>
      <xdr:nvPicPr>
        <xdr:cNvPr id="21" name="Picture 9"/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9621986" y="97631"/>
          <a:ext cx="670277" cy="59055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30480</xdr:colOff>
      <xdr:row>14</xdr:row>
      <xdr:rowOff>68580</xdr:rowOff>
    </xdr:from>
    <xdr:ext cx="174535" cy="172227"/>
    <xdr:sp macro="" textlink="">
      <xdr:nvSpPr>
        <xdr:cNvPr id="2" name="CuadroTexto 22">
          <a:extLst>
            <a:ext uri="{FF2B5EF4-FFF2-40B4-BE49-F238E27FC236}">
              <a16:creationId xmlns:a16="http://schemas.microsoft.com/office/drawing/2014/main" id="{FD240DDD-5F74-41EA-B78E-E3B54C280256}"/>
            </a:ext>
          </a:extLst>
        </xdr:cNvPr>
        <xdr:cNvSpPr txBox="1"/>
      </xdr:nvSpPr>
      <xdr:spPr>
        <a:xfrm>
          <a:off x="5678805" y="3859530"/>
          <a:ext cx="17453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es-CO" sz="1100" b="1" i="0" baseline="0">
              <a:latin typeface="Cambria Math" panose="02040503050406030204" pitchFamily="18" charset="0"/>
            </a:rPr>
            <a:t>¯</a:t>
          </a:r>
          <a:r>
            <a:rPr lang="es-CO" sz="1100" b="1" i="0" u="none" baseline="0">
              <a:latin typeface="Cambria Math" panose="02040503050406030204" pitchFamily="18" charset="0"/>
            </a:rPr>
            <a:t>𝐕𝐢</a:t>
          </a:r>
          <a:endParaRPr lang="es-CO" sz="1100" b="1" i="0" u="none" baseline="0">
            <a:latin typeface="Calibri" panose="020F0502020204030204" pitchFamily="34" charset="0"/>
          </a:endParaRPr>
        </a:p>
      </xdr:txBody>
    </xdr:sp>
    <xdr:clientData/>
  </xdr:oneCellAnchor>
  <xdr:oneCellAnchor>
    <xdr:from>
      <xdr:col>6</xdr:col>
      <xdr:colOff>688641</xdr:colOff>
      <xdr:row>84</xdr:row>
      <xdr:rowOff>114492</xdr:rowOff>
    </xdr:from>
    <xdr:ext cx="281177" cy="156518"/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383907B5-7C0E-4BCF-BD7F-B5A6392A02A3}"/>
            </a:ext>
          </a:extLst>
        </xdr:cNvPr>
        <xdr:cNvSpPr txBox="1"/>
      </xdr:nvSpPr>
      <xdr:spPr>
        <a:xfrm>
          <a:off x="4193841" y="16326042"/>
          <a:ext cx="281177" cy="15651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r>
            <a:rPr lang="es-CO" sz="1000" b="1" i="0" baseline="0">
              <a:latin typeface="Cambria Math"/>
            </a:rPr>
            <a:t>¯</a:t>
          </a:r>
          <a:r>
            <a:rPr lang="es-CO" sz="1000" b="1" i="0" baseline="0">
              <a:latin typeface="Cambria Math" panose="02040503050406030204" pitchFamily="18" charset="0"/>
            </a:rPr>
            <a:t>𝐕𝐢</a:t>
          </a:r>
          <a:endParaRPr lang="es-CO" sz="1000" b="1" i="0" baseline="0">
            <a:latin typeface="Calibri" panose="020F0502020204030204" pitchFamily="34" charset="0"/>
          </a:endParaRPr>
        </a:p>
      </xdr:txBody>
    </xdr:sp>
    <xdr:clientData/>
  </xdr:oneCellAnchor>
  <xdr:oneCellAnchor>
    <xdr:from>
      <xdr:col>10</xdr:col>
      <xdr:colOff>306907</xdr:colOff>
      <xdr:row>15</xdr:row>
      <xdr:rowOff>0</xdr:rowOff>
    </xdr:from>
    <xdr:ext cx="153866" cy="196464"/>
    <xdr:sp macro="" textlink="">
      <xdr:nvSpPr>
        <xdr:cNvPr id="4" name="CuadroTexto 1">
          <a:extLst>
            <a:ext uri="{FF2B5EF4-FFF2-40B4-BE49-F238E27FC236}">
              <a16:creationId xmlns:a16="http://schemas.microsoft.com/office/drawing/2014/main" id="{7C620ED8-05B9-4EE2-A144-12F569657F6A}"/>
            </a:ext>
          </a:extLst>
        </xdr:cNvPr>
        <xdr:cNvSpPr txBox="1"/>
      </xdr:nvSpPr>
      <xdr:spPr>
        <a:xfrm>
          <a:off x="6669607" y="4067175"/>
          <a:ext cx="153866" cy="19646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r>
            <a:rPr lang="es-CO" sz="1100" b="1" i="0" baseline="0">
              <a:latin typeface="Cambria Math"/>
            </a:rPr>
            <a:t>¯</a:t>
          </a:r>
          <a:r>
            <a:rPr lang="es-CO" sz="1100" b="1" i="0" baseline="0">
              <a:latin typeface="Cambria Math" panose="02040503050406030204" pitchFamily="18" charset="0"/>
            </a:rPr>
            <a:t>𝐕𝐢</a:t>
          </a:r>
          <a:endParaRPr lang="es-CO" sz="1100" b="1" i="0" baseline="0">
            <a:latin typeface="Calibri" panose="020F0502020204030204" pitchFamily="34" charset="0"/>
          </a:endParaRPr>
        </a:p>
      </xdr:txBody>
    </xdr:sp>
    <xdr:clientData/>
  </xdr:oneCellAnchor>
  <xdr:twoCellAnchor editAs="oneCell">
    <xdr:from>
      <xdr:col>1</xdr:col>
      <xdr:colOff>148167</xdr:colOff>
      <xdr:row>102</xdr:row>
      <xdr:rowOff>63500</xdr:rowOff>
    </xdr:from>
    <xdr:to>
      <xdr:col>5</xdr:col>
      <xdr:colOff>408063</xdr:colOff>
      <xdr:row>106</xdr:row>
      <xdr:rowOff>386370</xdr:rowOff>
    </xdr:to>
    <xdr:pic>
      <xdr:nvPicPr>
        <xdr:cNvPr id="5" name="Imagen 24"/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496" r="1269"/>
        <a:stretch/>
      </xdr:blipFill>
      <xdr:spPr>
        <a:xfrm>
          <a:off x="157692" y="19837400"/>
          <a:ext cx="3041196" cy="1808770"/>
        </a:xfrm>
        <a:prstGeom prst="rect">
          <a:avLst/>
        </a:prstGeom>
        <a:ln w="19050">
          <a:solidFill>
            <a:schemeClr val="tx1"/>
          </a:solidFill>
        </a:ln>
      </xdr:spPr>
    </xdr:pic>
    <xdr:clientData/>
  </xdr:twoCellAnchor>
  <xdr:twoCellAnchor editAs="oneCell">
    <xdr:from>
      <xdr:col>6</xdr:col>
      <xdr:colOff>296333</xdr:colOff>
      <xdr:row>102</xdr:row>
      <xdr:rowOff>63500</xdr:rowOff>
    </xdr:from>
    <xdr:to>
      <xdr:col>10</xdr:col>
      <xdr:colOff>445918</xdr:colOff>
      <xdr:row>106</xdr:row>
      <xdr:rowOff>386370</xdr:rowOff>
    </xdr:to>
    <xdr:pic>
      <xdr:nvPicPr>
        <xdr:cNvPr id="6" name="Imagen 23"/>
        <xdr:cNvPicPr/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047" r="1176"/>
        <a:stretch/>
      </xdr:blipFill>
      <xdr:spPr>
        <a:xfrm>
          <a:off x="3801533" y="19837400"/>
          <a:ext cx="3007085" cy="1808770"/>
        </a:xfrm>
        <a:prstGeom prst="rect">
          <a:avLst/>
        </a:prstGeom>
        <a:ln w="19050"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381000</xdr:colOff>
      <xdr:row>109</xdr:row>
      <xdr:rowOff>28575</xdr:rowOff>
    </xdr:from>
    <xdr:to>
      <xdr:col>4</xdr:col>
      <xdr:colOff>656925</xdr:colOff>
      <xdr:row>109</xdr:row>
      <xdr:rowOff>1828575</xdr:rowOff>
    </xdr:to>
    <xdr:pic>
      <xdr:nvPicPr>
        <xdr:cNvPr id="8" name="Imagen 7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0525" y="22193250"/>
          <a:ext cx="2342850" cy="1800000"/>
        </a:xfrm>
        <a:prstGeom prst="rect">
          <a:avLst/>
        </a:prstGeom>
      </xdr:spPr>
    </xdr:pic>
    <xdr:clientData/>
  </xdr:twoCellAnchor>
  <xdr:twoCellAnchor editAs="oneCell">
    <xdr:from>
      <xdr:col>8</xdr:col>
      <xdr:colOff>123825</xdr:colOff>
      <xdr:row>109</xdr:row>
      <xdr:rowOff>47625</xdr:rowOff>
    </xdr:from>
    <xdr:to>
      <xdr:col>11</xdr:col>
      <xdr:colOff>323550</xdr:colOff>
      <xdr:row>109</xdr:row>
      <xdr:rowOff>1847625</xdr:rowOff>
    </xdr:to>
    <xdr:pic>
      <xdr:nvPicPr>
        <xdr:cNvPr id="9" name="Imagen 8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57775" y="22212300"/>
          <a:ext cx="2342850" cy="1800000"/>
        </a:xfrm>
        <a:prstGeom prst="rect">
          <a:avLst/>
        </a:prstGeom>
      </xdr:spPr>
    </xdr:pic>
    <xdr:clientData/>
  </xdr:twoCellAnchor>
  <xdr:twoCellAnchor editAs="oneCell">
    <xdr:from>
      <xdr:col>12</xdr:col>
      <xdr:colOff>16650</xdr:colOff>
      <xdr:row>109</xdr:row>
      <xdr:rowOff>54750</xdr:rowOff>
    </xdr:from>
    <xdr:to>
      <xdr:col>15</xdr:col>
      <xdr:colOff>216375</xdr:colOff>
      <xdr:row>109</xdr:row>
      <xdr:rowOff>1854750</xdr:rowOff>
    </xdr:to>
    <xdr:pic>
      <xdr:nvPicPr>
        <xdr:cNvPr id="10" name="Imagen 9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08100" y="22219425"/>
          <a:ext cx="2342850" cy="1800000"/>
        </a:xfrm>
        <a:prstGeom prst="rect">
          <a:avLst/>
        </a:prstGeom>
      </xdr:spPr>
    </xdr:pic>
    <xdr:clientData/>
  </xdr:twoCellAnchor>
  <xdr:twoCellAnchor editAs="oneCell">
    <xdr:from>
      <xdr:col>5</xdr:col>
      <xdr:colOff>582525</xdr:colOff>
      <xdr:row>109</xdr:row>
      <xdr:rowOff>57150</xdr:rowOff>
    </xdr:from>
    <xdr:to>
      <xdr:col>7</xdr:col>
      <xdr:colOff>447675</xdr:colOff>
      <xdr:row>109</xdr:row>
      <xdr:rowOff>1833150</xdr:rowOff>
    </xdr:to>
    <xdr:pic>
      <xdr:nvPicPr>
        <xdr:cNvPr id="11" name="Imagen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132300" y="22462875"/>
          <a:ext cx="1776000" cy="1293900"/>
        </a:xfrm>
        <a:prstGeom prst="rect">
          <a:avLst/>
        </a:prstGeom>
      </xdr:spPr>
    </xdr:pic>
    <xdr:clientData/>
  </xdr:twoCellAnchor>
  <xdr:oneCellAnchor>
    <xdr:from>
      <xdr:col>4</xdr:col>
      <xdr:colOff>707523</xdr:colOff>
      <xdr:row>78</xdr:row>
      <xdr:rowOff>87920</xdr:rowOff>
    </xdr:from>
    <xdr:ext cx="1519198" cy="30251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" name="CuadroTexto 15">
              <a:extLst>
                <a:ext uri="{FF2B5EF4-FFF2-40B4-BE49-F238E27FC236}">
                  <a16:creationId xmlns:a16="http://schemas.microsoft.com/office/drawing/2014/main" id="{14D38863-A958-44A1-BF80-1962F5ABE349}"/>
                </a:ext>
              </a:extLst>
            </xdr:cNvPr>
            <xdr:cNvSpPr txBox="1"/>
          </xdr:nvSpPr>
          <xdr:spPr>
            <a:xfrm>
              <a:off x="2783973" y="15270770"/>
              <a:ext cx="1519198" cy="30251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bar>
                      <m:barPr>
                        <m:pos m:val="top"/>
                        <m:ctrlPr>
                          <a:rPr lang="es-CO" sz="1050" b="1" i="1">
                            <a:latin typeface="Cambria Math" panose="02040503050406030204" pitchFamily="18" charset="0"/>
                          </a:rPr>
                        </m:ctrlPr>
                      </m:barPr>
                      <m:e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𝐕𝐢</m:t>
                        </m:r>
                      </m:e>
                    </m:bar>
                    <m:r>
                      <a:rPr lang="es-CO" sz="1050" b="1" i="0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s-CO" sz="1050" b="1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s-CO" sz="1050" b="1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𝟎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.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𝟐</m:t>
                            </m:r>
                          </m:sub>
                        </m:sSub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+</m:t>
                        </m:r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𝟐</m:t>
                        </m:r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∗</m:t>
                        </m:r>
                        <m:sSub>
                          <m:sSubPr>
                            <m:ctrlPr>
                              <a:rPr lang="es-CO" sz="1050" b="1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𝟎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.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𝟒</m:t>
                            </m:r>
                          </m:sub>
                        </m:sSub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+</m:t>
                        </m:r>
                        <m:sSub>
                          <m:sSubPr>
                            <m:ctrlPr>
                              <a:rPr lang="es-CO" sz="1050" b="1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𝟎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.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𝟖</m:t>
                            </m:r>
                          </m:sub>
                        </m:sSub>
                      </m:num>
                      <m:den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𝟒</m:t>
                        </m:r>
                      </m:den>
                    </m:f>
                  </m:oMath>
                </m:oMathPara>
              </a14:m>
              <a:endParaRPr lang="es-CO" sz="1050" b="1" i="0"/>
            </a:p>
          </xdr:txBody>
        </xdr:sp>
      </mc:Choice>
      <mc:Fallback xmlns="">
        <xdr:sp macro="" textlink="">
          <xdr:nvSpPr>
            <xdr:cNvPr id="12" name="CuadroTexto 15">
              <a:extLst>
                <a:ext uri="{FF2B5EF4-FFF2-40B4-BE49-F238E27FC236}">
                  <a16:creationId xmlns:a16="http://schemas.microsoft.com/office/drawing/2014/main" id="{14D38863-A958-44A1-BF80-1962F5ABE349}"/>
                </a:ext>
              </a:extLst>
            </xdr:cNvPr>
            <xdr:cNvSpPr txBox="1"/>
          </xdr:nvSpPr>
          <xdr:spPr>
            <a:xfrm>
              <a:off x="2783973" y="15270770"/>
              <a:ext cx="1519198" cy="30251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050" b="1" i="0">
                  <a:latin typeface="Cambria Math" panose="02040503050406030204" pitchFamily="18" charset="0"/>
                </a:rPr>
                <a:t>¯𝐕𝐢=(𝐕_(𝟎.𝟐)+𝟐∗𝐕_(𝟎.𝟒)+𝐕_(𝟎.𝟖))/𝟒</a:t>
              </a:r>
              <a:endParaRPr lang="es-CO" sz="1050" b="1" i="0"/>
            </a:p>
          </xdr:txBody>
        </xdr:sp>
      </mc:Fallback>
    </mc:AlternateContent>
    <xdr:clientData/>
  </xdr:oneCellAnchor>
  <xdr:oneCellAnchor>
    <xdr:from>
      <xdr:col>4</xdr:col>
      <xdr:colOff>455076</xdr:colOff>
      <xdr:row>81</xdr:row>
      <xdr:rowOff>110032</xdr:rowOff>
    </xdr:from>
    <xdr:ext cx="4086888" cy="30867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" name="33 CuadroTexto">
              <a:extLst>
                <a:ext uri="{FF2B5EF4-FFF2-40B4-BE49-F238E27FC236}">
                  <a16:creationId xmlns:a16="http://schemas.microsoft.com/office/drawing/2014/main" id="{47CA8606-176C-4751-B053-DDBCF697BD59}"/>
                </a:ext>
              </a:extLst>
            </xdr:cNvPr>
            <xdr:cNvSpPr txBox="1"/>
          </xdr:nvSpPr>
          <xdr:spPr>
            <a:xfrm>
              <a:off x="2531526" y="15807232"/>
              <a:ext cx="4086888" cy="30867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indent="0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bar>
                      <m:barPr>
                        <m:pos m:val="top"/>
                        <m:ctrlPr>
                          <a:rPr lang="es-CO" sz="1050" b="1" i="1">
                            <a:solidFill>
                              <a:sysClr val="windowText" lastClr="000000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barPr>
                      <m:e>
                        <m:r>
                          <a:rPr lang="es-CO" sz="1050" b="1" i="0">
                            <a:solidFill>
                              <a:sysClr val="windowText" lastClr="000000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𝐕𝐢</m:t>
                        </m:r>
                      </m:e>
                    </m:bar>
                    <m:r>
                      <a:rPr lang="es-ES" sz="1050" b="1" i="0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s-ES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𝟏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𝟐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𝟑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𝟒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𝟓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𝟔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sSub>
                              <m:sSubPr>
                                <m:ctrlPr>
                                  <a:rPr lang="es-ES" sz="1050" b="1" i="1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𝐕</m:t>
                                </m:r>
                              </m:e>
                              <m:sub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𝟎</m:t>
                                </m:r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.</m:t>
                                </m:r>
                                <m:r>
                                  <a:rPr lang="es-CO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𝟕</m:t>
                                </m:r>
                              </m:sub>
                            </m:s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sSub>
                              <m:sSubPr>
                                <m:ctrlPr>
                                  <a:rPr lang="es-ES" sz="1050" b="1" i="1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𝐕</m:t>
                                </m:r>
                              </m:e>
                              <m:sub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𝟎</m:t>
                                </m:r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.</m:t>
                                </m:r>
                                <m:r>
                                  <a:rPr lang="es-CO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𝟖</m:t>
                                </m:r>
                              </m:sub>
                            </m:s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sSub>
                              <m:sSubPr>
                                <m:ctrlPr>
                                  <a:rPr lang="es-ES" sz="1050" b="1" i="1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𝐕</m:t>
                                </m:r>
                              </m:e>
                              <m:sub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𝟎</m:t>
                                </m:r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.</m:t>
                                </m:r>
                                <m:r>
                                  <a:rPr lang="es-CO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𝟗</m:t>
                                </m:r>
                              </m:sub>
                            </m:s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𝐬𝐮𝐩𝐟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 </m:t>
                            </m:r>
                          </m:sub>
                        </m:sSub>
                      </m:num>
                      <m:den>
                        <m:r>
                          <a:rPr lang="es-CO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𝟏𝟎</m:t>
                        </m:r>
                      </m:den>
                    </m:f>
                    <m:r>
                      <a:rPr lang="es-ES" sz="1050" b="1" i="0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</m:oMath>
                </m:oMathPara>
              </a14:m>
              <a:endParaRPr lang="es-ES" sz="1050" b="1" i="0">
                <a:solidFill>
                  <a:sysClr val="windowText" lastClr="000000"/>
                </a:solidFill>
                <a:latin typeface="Cambria Math" panose="02040503050406030204" pitchFamily="18" charset="0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3" name="33 CuadroTexto">
              <a:extLst>
                <a:ext uri="{FF2B5EF4-FFF2-40B4-BE49-F238E27FC236}">
                  <a16:creationId xmlns:a16="http://schemas.microsoft.com/office/drawing/2014/main" id="{47CA8606-176C-4751-B053-DDBCF697BD59}"/>
                </a:ext>
              </a:extLst>
            </xdr:cNvPr>
            <xdr:cNvSpPr txBox="1"/>
          </xdr:nvSpPr>
          <xdr:spPr>
            <a:xfrm>
              <a:off x="2531526" y="15807232"/>
              <a:ext cx="4086888" cy="30867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indent="0"/>
              <a:r>
                <a:rPr lang="es-CO" sz="1050" b="1" i="0">
                  <a:solidFill>
                    <a:sysClr val="windowText" lastClr="00000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¯𝐕𝐢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=(𝐕_(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𝟎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𝟏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𝟎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𝟐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𝟎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𝟑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)+𝐕_(𝟎.𝟒)+𝐕_(𝟎.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𝟓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)+𝐕_(𝟎.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𝟔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)+〖𝐕_(𝟎.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𝟕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)+𝐕_(𝟎.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𝟖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)+𝐕_(𝟎.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𝟗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)+𝐕〗_(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𝐬𝐮𝐩𝐟 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))/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𝟏𝟎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  </a:t>
              </a:r>
            </a:p>
          </xdr:txBody>
        </xdr:sp>
      </mc:Fallback>
    </mc:AlternateContent>
    <xdr:clientData/>
  </xdr:oneCellAnchor>
  <xdr:oneCellAnchor>
    <xdr:from>
      <xdr:col>10</xdr:col>
      <xdr:colOff>342110</xdr:colOff>
      <xdr:row>81</xdr:row>
      <xdr:rowOff>62344</xdr:rowOff>
    </xdr:from>
    <xdr:ext cx="1313516" cy="35502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" name="20 CuadroTexto">
              <a:extLst>
                <a:ext uri="{FF2B5EF4-FFF2-40B4-BE49-F238E27FC236}">
                  <a16:creationId xmlns:a16="http://schemas.microsoft.com/office/drawing/2014/main" id="{B890F03E-4165-4DE0-9AFB-4A22B6951804}"/>
                </a:ext>
              </a:extLst>
            </xdr:cNvPr>
            <xdr:cNvSpPr txBox="1"/>
          </xdr:nvSpPr>
          <xdr:spPr>
            <a:xfrm>
              <a:off x="6704810" y="15759544"/>
              <a:ext cx="1313516" cy="35502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𝐀𝐢</m:t>
                    </m:r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s-CO" sz="105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s-CO" sz="105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(</m:t>
                            </m:r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𝐡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𝐢</m:t>
                            </m:r>
                          </m:sub>
                        </m:sSub>
                        <m:r>
                          <a:rPr lang="es-CO" sz="105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CO" sz="105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𝐡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𝐢</m:t>
                            </m:r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𝟏</m:t>
                            </m:r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 </m:t>
                            </m:r>
                          </m:sub>
                        </m:sSub>
                        <m:r>
                          <a:rPr lang="es-CO" sz="105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)</m:t>
                        </m:r>
                        <m:r>
                          <a:rPr lang="es-ES" sz="1050" b="1" i="0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∗</m:t>
                        </m:r>
                        <m:r>
                          <a:rPr lang="es-CO" sz="105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𝐛</m:t>
                        </m:r>
                      </m:num>
                      <m:den>
                        <m:r>
                          <a:rPr lang="es-CO" sz="105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𝟐</m:t>
                        </m:r>
                      </m:den>
                    </m:f>
                  </m:oMath>
                </m:oMathPara>
              </a14:m>
              <a:endParaRPr lang="es-ES" sz="1050" b="1" i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4" name="20 CuadroTexto">
              <a:extLst>
                <a:ext uri="{FF2B5EF4-FFF2-40B4-BE49-F238E27FC236}">
                  <a16:creationId xmlns:a16="http://schemas.microsoft.com/office/drawing/2014/main" id="{B890F03E-4165-4DE0-9AFB-4A22B6951804}"/>
                </a:ext>
              </a:extLst>
            </xdr:cNvPr>
            <xdr:cNvSpPr txBox="1"/>
          </xdr:nvSpPr>
          <xdr:spPr>
            <a:xfrm>
              <a:off x="6704810" y="15759544"/>
              <a:ext cx="1313516" cy="35502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pPr/>
              <a:r>
                <a:rPr lang="es-ES" sz="105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𝐀𝐢=</a:t>
              </a:r>
              <a:r>
                <a:rPr lang="es-CO" sz="105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(〖(𝐡〗_𝐢+𝐡_(𝐢+𝟏 ))</a:t>
              </a:r>
              <a:r>
                <a:rPr lang="es-ES" sz="105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∗</a:t>
              </a:r>
              <a:r>
                <a:rPr lang="es-CO" sz="105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𝐛)/𝟐</a:t>
              </a:r>
              <a:endParaRPr lang="es-ES" sz="1050" b="1" i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14</xdr:col>
      <xdr:colOff>263225</xdr:colOff>
      <xdr:row>81</xdr:row>
      <xdr:rowOff>133481</xdr:rowOff>
    </xdr:from>
    <xdr:ext cx="1059883" cy="27982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" name="19 CuadroTexto">
              <a:extLst>
                <a:ext uri="{FF2B5EF4-FFF2-40B4-BE49-F238E27FC236}">
                  <a16:creationId xmlns:a16="http://schemas.microsoft.com/office/drawing/2014/main" id="{4B78248E-C7BB-4DE6-B215-EE8384164C2D}"/>
                </a:ext>
              </a:extLst>
            </xdr:cNvPr>
            <xdr:cNvSpPr txBox="1"/>
          </xdr:nvSpPr>
          <xdr:spPr>
            <a:xfrm>
              <a:off x="9483425" y="15830681"/>
              <a:ext cx="1059883" cy="2798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𝐐𝐢</m:t>
                    </m:r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=</m:t>
                    </m:r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𝐀𝐢</m:t>
                    </m:r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∗</m:t>
                    </m:r>
                    <m:bar>
                      <m:barPr>
                        <m:pos m:val="top"/>
                        <m:ctrlPr>
                          <a:rPr lang="es-CO" sz="105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barPr>
                      <m:e>
                        <m:r>
                          <a:rPr lang="es-CO" sz="105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𝐕𝐢</m:t>
                        </m:r>
                      </m:e>
                    </m:bar>
                  </m:oMath>
                </m:oMathPara>
              </a14:m>
              <a:endParaRPr lang="es-ES" sz="1050" b="1" i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5" name="19 CuadroTexto">
              <a:extLst>
                <a:ext uri="{FF2B5EF4-FFF2-40B4-BE49-F238E27FC236}">
                  <a16:creationId xmlns:a16="http://schemas.microsoft.com/office/drawing/2014/main" id="{4B78248E-C7BB-4DE6-B215-EE8384164C2D}"/>
                </a:ext>
              </a:extLst>
            </xdr:cNvPr>
            <xdr:cNvSpPr txBox="1"/>
          </xdr:nvSpPr>
          <xdr:spPr>
            <a:xfrm>
              <a:off x="9483425" y="15830681"/>
              <a:ext cx="1059883" cy="2798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lang="es-ES" sz="105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𝐐𝐢=𝐀𝐢∗</a:t>
              </a:r>
              <a:r>
                <a:rPr lang="es-CO" sz="105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¯𝐕𝐢</a:t>
              </a:r>
              <a:endParaRPr lang="es-ES" sz="1050" b="1" i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2</xdr:col>
      <xdr:colOff>311720</xdr:colOff>
      <xdr:row>81</xdr:row>
      <xdr:rowOff>102839</xdr:rowOff>
    </xdr:from>
    <xdr:ext cx="1058367" cy="32836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" name="CuadroTexto 19">
              <a:extLst>
                <a:ext uri="{FF2B5EF4-FFF2-40B4-BE49-F238E27FC236}">
                  <a16:creationId xmlns:a16="http://schemas.microsoft.com/office/drawing/2014/main" id="{756197F7-E6FE-49DD-AEE2-CFBBF99A9C66}"/>
                </a:ext>
              </a:extLst>
            </xdr:cNvPr>
            <xdr:cNvSpPr txBox="1"/>
          </xdr:nvSpPr>
          <xdr:spPr>
            <a:xfrm>
              <a:off x="959420" y="15800039"/>
              <a:ext cx="1058367" cy="3283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CO" sz="1050" b="1" i="0" u="none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𝐐</m:t>
                    </m:r>
                    <m:d>
                      <m:dPr>
                        <m:begChr m:val="["/>
                        <m:endChr m:val="]"/>
                        <m:ctrlPr>
                          <a:rPr lang="es-CO" sz="1050" b="1" i="1" u="none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s-CO" sz="1050" b="1" i="0" u="none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%</m:t>
                        </m:r>
                      </m:e>
                    </m:d>
                    <m:r>
                      <a:rPr lang="es-CO" sz="1050" b="1" i="0" u="none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= </m:t>
                    </m:r>
                    <m:f>
                      <m:fPr>
                        <m:ctrlPr>
                          <a:rPr lang="es-CO" sz="1050" b="1" i="1" u="none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s-CO" sz="1050" b="1" i="0" u="none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𝐐𝐢</m:t>
                        </m:r>
                      </m:num>
                      <m:den>
                        <m:r>
                          <a:rPr lang="es-CO" sz="1050" b="1" i="0" u="none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𝐐𝐭</m:t>
                        </m:r>
                      </m:den>
                    </m:f>
                    <m:r>
                      <a:rPr lang="es-CO" sz="1050" b="1" i="1" u="none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∗</m:t>
                    </m:r>
                    <m:r>
                      <a:rPr lang="es-CO" sz="1050" b="1" i="1" u="none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𝟏𝟎𝟎</m:t>
                    </m:r>
                  </m:oMath>
                </m:oMathPara>
              </a14:m>
              <a:endParaRPr lang="es-CO" sz="1050" b="1" i="0" u="none">
                <a:solidFill>
                  <a:sysClr val="windowText" lastClr="000000"/>
                </a:solidFill>
              </a:endParaRPr>
            </a:p>
          </xdr:txBody>
        </xdr:sp>
      </mc:Choice>
      <mc:Fallback xmlns="">
        <xdr:sp macro="" textlink="">
          <xdr:nvSpPr>
            <xdr:cNvPr id="16" name="CuadroTexto 19">
              <a:extLst>
                <a:ext uri="{FF2B5EF4-FFF2-40B4-BE49-F238E27FC236}">
                  <a16:creationId xmlns:a16="http://schemas.microsoft.com/office/drawing/2014/main" id="{756197F7-E6FE-49DD-AEE2-CFBBF99A9C66}"/>
                </a:ext>
              </a:extLst>
            </xdr:cNvPr>
            <xdr:cNvSpPr txBox="1"/>
          </xdr:nvSpPr>
          <xdr:spPr>
            <a:xfrm>
              <a:off x="959420" y="15800039"/>
              <a:ext cx="1058367" cy="3283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050" b="1" i="0" u="none">
                  <a:solidFill>
                    <a:sysClr val="windowText" lastClr="000000"/>
                  </a:solidFill>
                  <a:latin typeface="Cambria Math" panose="02040503050406030204" pitchFamily="18" charset="0"/>
                </a:rPr>
                <a:t>𝐐[%]=  𝐐𝐢/𝐐𝐭∗𝟏𝟎𝟎</a:t>
              </a:r>
              <a:endParaRPr lang="es-CO" sz="1050" b="1" i="0" u="none">
                <a:solidFill>
                  <a:sysClr val="windowText" lastClr="000000"/>
                </a:solidFill>
              </a:endParaRPr>
            </a:p>
          </xdr:txBody>
        </xdr:sp>
      </mc:Fallback>
    </mc:AlternateContent>
    <xdr:clientData/>
  </xdr:oneCellAnchor>
  <xdr:oneCellAnchor>
    <xdr:from>
      <xdr:col>12</xdr:col>
      <xdr:colOff>436291</xdr:colOff>
      <xdr:row>81</xdr:row>
      <xdr:rowOff>129757</xdr:rowOff>
    </xdr:from>
    <xdr:ext cx="907300" cy="3179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" name="CuadroTexto 20">
              <a:extLst>
                <a:ext uri="{FF2B5EF4-FFF2-40B4-BE49-F238E27FC236}">
                  <a16:creationId xmlns:a16="http://schemas.microsoft.com/office/drawing/2014/main" id="{E35B2A1D-33C4-4A4B-A9DE-2E22C5485924}"/>
                </a:ext>
              </a:extLst>
            </xdr:cNvPr>
            <xdr:cNvSpPr txBox="1"/>
          </xdr:nvSpPr>
          <xdr:spPr>
            <a:xfrm>
              <a:off x="8227741" y="15826957"/>
              <a:ext cx="907300" cy="3179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indent="0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CO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𝑽𝒎𝒆𝒅𝒊𝒂</m:t>
                    </m:r>
                    <m:r>
                      <a:rPr lang="es-CO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s-CO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es-CO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𝑸𝒕</m:t>
                        </m:r>
                      </m:num>
                      <m:den>
                        <m:r>
                          <a:rPr lang="es-CO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𝑨𝒊</m:t>
                        </m:r>
                      </m:den>
                    </m:f>
                  </m:oMath>
                </m:oMathPara>
              </a14:m>
              <a:endParaRPr lang="es-CO" sz="1100" b="1" i="1">
                <a:solidFill>
                  <a:schemeClr val="tx1"/>
                </a:solidFill>
                <a:effectLst/>
                <a:latin typeface="Cambria Math" panose="02040503050406030204" pitchFamily="18" charset="0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7" name="CuadroTexto 20">
              <a:extLst>
                <a:ext uri="{FF2B5EF4-FFF2-40B4-BE49-F238E27FC236}">
                  <a16:creationId xmlns:a16="http://schemas.microsoft.com/office/drawing/2014/main" id="{E35B2A1D-33C4-4A4B-A9DE-2E22C5485924}"/>
                </a:ext>
              </a:extLst>
            </xdr:cNvPr>
            <xdr:cNvSpPr txBox="1"/>
          </xdr:nvSpPr>
          <xdr:spPr>
            <a:xfrm>
              <a:off x="8227741" y="15826957"/>
              <a:ext cx="907300" cy="3179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indent="0"/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𝑽𝒎𝒆𝒅𝒊𝒂=𝑸𝒕/𝑨𝒊</a:t>
              </a:r>
              <a:endParaRPr lang="es-CO" sz="1100" b="1" i="1">
                <a:solidFill>
                  <a:schemeClr val="tx1"/>
                </a:solidFill>
                <a:effectLst/>
                <a:latin typeface="Cambria Math" panose="02040503050406030204" pitchFamily="18" charset="0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8</xdr:col>
      <xdr:colOff>56087</xdr:colOff>
      <xdr:row>78</xdr:row>
      <xdr:rowOff>56351</xdr:rowOff>
    </xdr:from>
    <xdr:ext cx="1322606" cy="3424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" name="CuadroTexto 21">
              <a:extLst>
                <a:ext uri="{FF2B5EF4-FFF2-40B4-BE49-F238E27FC236}">
                  <a16:creationId xmlns:a16="http://schemas.microsoft.com/office/drawing/2014/main" id="{0E94871D-9018-4FB9-936B-0E0BFD977424}"/>
                </a:ext>
              </a:extLst>
            </xdr:cNvPr>
            <xdr:cNvSpPr txBox="1"/>
          </xdr:nvSpPr>
          <xdr:spPr>
            <a:xfrm>
              <a:off x="4990037" y="15239201"/>
              <a:ext cx="1322606" cy="3424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acc>
                      <m:accPr>
                        <m:chr m:val="̅"/>
                        <m:ctrlPr>
                          <a:rPr lang="es-CO" sz="1000" b="1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sSub>
                          <m:sSubPr>
                            <m:ctrlPr>
                              <a:rPr lang="es-CO" sz="1000" b="1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CO" sz="1000" b="1" i="1">
                                <a:latin typeface="Cambria Math" panose="02040503050406030204" pitchFamily="18" charset="0"/>
                              </a:rPr>
                              <m:t>𝑽</m:t>
                            </m:r>
                          </m:e>
                          <m:sub>
                            <m:r>
                              <a:rPr lang="es-CO" sz="1000" b="1" i="1">
                                <a:latin typeface="Cambria Math" panose="02040503050406030204" pitchFamily="18" charset="0"/>
                              </a:rPr>
                              <m:t>𝒊</m:t>
                            </m:r>
                          </m:sub>
                        </m:sSub>
                      </m:e>
                    </m:acc>
                    <m:d>
                      <m:dPr>
                        <m:begChr m:val="["/>
                        <m:endChr m:val="]"/>
                        <m:ctrlPr>
                          <a:rPr lang="es-CO" sz="1000" b="1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f>
                          <m:fPr>
                            <m:ctrlPr>
                              <a:rPr lang="es-CO" sz="1000" b="1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s-CO" sz="1000" b="1" i="1">
                                <a:latin typeface="Cambria Math" panose="02040503050406030204" pitchFamily="18" charset="0"/>
                              </a:rPr>
                              <m:t>𝒇𝒕</m:t>
                            </m:r>
                          </m:num>
                          <m:den>
                            <m:r>
                              <a:rPr lang="es-CO" sz="1000" b="1" i="1">
                                <a:latin typeface="Cambria Math" panose="02040503050406030204" pitchFamily="18" charset="0"/>
                              </a:rPr>
                              <m:t>𝒔</m:t>
                            </m:r>
                          </m:den>
                        </m:f>
                      </m:e>
                    </m:d>
                    <m:r>
                      <a:rPr lang="es-CO" sz="1000" b="1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s-CO" sz="1000" b="1" i="1">
                        <a:latin typeface="Cambria Math" panose="02040503050406030204" pitchFamily="18" charset="0"/>
                      </a:rPr>
                      <m:t>𝟑</m:t>
                    </m:r>
                    <m:r>
                      <a:rPr lang="es-CO" sz="1000" b="1" i="1">
                        <a:latin typeface="Cambria Math" panose="02040503050406030204" pitchFamily="18" charset="0"/>
                      </a:rPr>
                      <m:t>,</m:t>
                    </m:r>
                    <m:r>
                      <a:rPr lang="es-CO" sz="1000" b="1" i="1">
                        <a:latin typeface="Cambria Math" panose="02040503050406030204" pitchFamily="18" charset="0"/>
                      </a:rPr>
                      <m:t>𝟐𝟖</m:t>
                    </m:r>
                    <m:r>
                      <a:rPr lang="es-CO" sz="1000" b="1" i="1">
                        <a:latin typeface="Cambria Math" panose="02040503050406030204" pitchFamily="18" charset="0"/>
                      </a:rPr>
                      <m:t>∗</m:t>
                    </m:r>
                    <m:acc>
                      <m:accPr>
                        <m:chr m:val="̅"/>
                        <m:ctrlPr>
                          <a:rPr lang="es-CO" sz="10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accPr>
                      <m:e>
                        <m:sSub>
                          <m:sSubPr>
                            <m:ctrlP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𝑽</m:t>
                            </m:r>
                          </m:e>
                          <m:sub>
                            <m: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𝒊</m:t>
                            </m:r>
                          </m:sub>
                        </m:sSub>
                      </m:e>
                    </m:acc>
                    <m:d>
                      <m:dPr>
                        <m:begChr m:val="["/>
                        <m:endChr m:val="]"/>
                        <m:ctrlPr>
                          <a:rPr lang="es-CO" sz="10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dPr>
                      <m:e>
                        <m:f>
                          <m:fPr>
                            <m:ctrlP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fPr>
                          <m:num>
                            <m: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𝒎</m:t>
                            </m:r>
                          </m:num>
                          <m:den>
                            <m: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𝒔</m:t>
                            </m:r>
                          </m:den>
                        </m:f>
                      </m:e>
                    </m:d>
                  </m:oMath>
                </m:oMathPara>
              </a14:m>
              <a:endParaRPr lang="es-CO" sz="1000" b="1" i="0"/>
            </a:p>
          </xdr:txBody>
        </xdr:sp>
      </mc:Choice>
      <mc:Fallback xmlns="">
        <xdr:sp macro="" textlink="">
          <xdr:nvSpPr>
            <xdr:cNvPr id="18" name="CuadroTexto 21">
              <a:extLst>
                <a:ext uri="{FF2B5EF4-FFF2-40B4-BE49-F238E27FC236}">
                  <a16:creationId xmlns:a16="http://schemas.microsoft.com/office/drawing/2014/main" id="{0E94871D-9018-4FB9-936B-0E0BFD977424}"/>
                </a:ext>
              </a:extLst>
            </xdr:cNvPr>
            <xdr:cNvSpPr txBox="1"/>
          </xdr:nvSpPr>
          <xdr:spPr>
            <a:xfrm>
              <a:off x="4990037" y="15239201"/>
              <a:ext cx="1322606" cy="3424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000" b="1" i="0">
                  <a:latin typeface="Cambria Math" panose="02040503050406030204" pitchFamily="18" charset="0"/>
                </a:rPr>
                <a:t>(𝑽_𝒊 ) ̅[𝒇𝒕/𝒔]=𝟑,𝟐𝟖∗</a:t>
              </a:r>
              <a:r>
                <a:rPr lang="es-CO" sz="10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(𝑽_𝒊 ) ̅[𝒎/𝒔]</a:t>
              </a:r>
              <a:endParaRPr lang="es-CO" sz="1000" b="1" i="0"/>
            </a:p>
          </xdr:txBody>
        </xdr:sp>
      </mc:Fallback>
    </mc:AlternateContent>
    <xdr:clientData/>
  </xdr:oneCellAnchor>
  <xdr:oneCellAnchor>
    <xdr:from>
      <xdr:col>2</xdr:col>
      <xdr:colOff>96182</xdr:colOff>
      <xdr:row>78</xdr:row>
      <xdr:rowOff>41166</xdr:rowOff>
    </xdr:from>
    <xdr:ext cx="1500411" cy="3429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" name="CuadroTexto 23">
              <a:extLst>
                <a:ext uri="{FF2B5EF4-FFF2-40B4-BE49-F238E27FC236}">
                  <a16:creationId xmlns:a16="http://schemas.microsoft.com/office/drawing/2014/main" id="{DF4E5537-3FC9-4C1C-AAD2-18E7D998A2C4}"/>
                </a:ext>
              </a:extLst>
            </xdr:cNvPr>
            <xdr:cNvSpPr txBox="1"/>
          </xdr:nvSpPr>
          <xdr:spPr>
            <a:xfrm>
              <a:off x="743882" y="15224016"/>
              <a:ext cx="1500411" cy="3429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d>
                      <m:dPr>
                        <m:begChr m:val="["/>
                        <m:endChr m:val="]"/>
                        <m:ctrlP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s-CO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𝐑𝐩𝐦</m:t>
                        </m:r>
                      </m:e>
                    </m:d>
                    <m:r>
                      <a:rPr lang="es-CO" sz="1050" b="1" i="1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d>
                          <m:dPr>
                            <m:begChr m:val="["/>
                            <m:endChr m:val="]"/>
                            <m:ctrlPr>
                              <a:rPr lang="es-CO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s-CO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  <m:t>𝑹𝒆𝒗</m:t>
                            </m:r>
                          </m:e>
                        </m:d>
                      </m:num>
                      <m:den>
                        <m:r>
                          <a:rPr lang="es-CO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𝐭𝐜</m:t>
                        </m:r>
                        <m:d>
                          <m:dPr>
                            <m:begChr m:val="["/>
                            <m:endChr m:val="]"/>
                            <m:ctrlPr>
                              <a:rPr lang="es-CO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s-CO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  <m:t>𝒔</m:t>
                            </m:r>
                          </m:e>
                        </m:d>
                      </m:den>
                    </m:f>
                    <m:r>
                      <a:rPr lang="es-CO" sz="1050" b="1" i="1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∗</m:t>
                    </m:r>
                    <m:f>
                      <m:fPr>
                        <m:ctrlP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𝟔𝟎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 [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𝒔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]</m:t>
                        </m:r>
                      </m:num>
                      <m:den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𝟏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[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𝒎𝒊𝒏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]</m:t>
                        </m:r>
                      </m:den>
                    </m:f>
                  </m:oMath>
                </m:oMathPara>
              </a14:m>
              <a:endParaRPr lang="es-CO" sz="1050" b="1" i="0">
                <a:solidFill>
                  <a:sysClr val="windowText" lastClr="000000"/>
                </a:solidFill>
              </a:endParaRPr>
            </a:p>
          </xdr:txBody>
        </xdr:sp>
      </mc:Choice>
      <mc:Fallback xmlns="">
        <xdr:sp macro="" textlink="">
          <xdr:nvSpPr>
            <xdr:cNvPr id="19" name="CuadroTexto 23">
              <a:extLst>
                <a:ext uri="{FF2B5EF4-FFF2-40B4-BE49-F238E27FC236}">
                  <a16:creationId xmlns:a16="http://schemas.microsoft.com/office/drawing/2014/main" id="{DF4E5537-3FC9-4C1C-AAD2-18E7D998A2C4}"/>
                </a:ext>
              </a:extLst>
            </xdr:cNvPr>
            <xdr:cNvSpPr txBox="1"/>
          </xdr:nvSpPr>
          <xdr:spPr>
            <a:xfrm>
              <a:off x="743882" y="15224016"/>
              <a:ext cx="1500411" cy="3429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</a:rPr>
                <a:t>[𝐑𝐩𝐦]=[𝑹𝒆𝒗]/𝐭𝐜[𝒔] ∗(𝟔𝟎 [𝒔])/(𝟏[𝒎𝒊𝒏])</a:t>
              </a:r>
              <a:endParaRPr lang="es-CO" sz="1050" b="1" i="0">
                <a:solidFill>
                  <a:sysClr val="windowText" lastClr="000000"/>
                </a:solidFill>
              </a:endParaRPr>
            </a:p>
          </xdr:txBody>
        </xdr:sp>
      </mc:Fallback>
    </mc:AlternateContent>
    <xdr:clientData/>
  </xdr:oneCellAnchor>
  <xdr:oneCellAnchor>
    <xdr:from>
      <xdr:col>10</xdr:col>
      <xdr:colOff>553512</xdr:colOff>
      <xdr:row>78</xdr:row>
      <xdr:rowOff>135078</xdr:rowOff>
    </xdr:from>
    <xdr:ext cx="3601499" cy="34637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0" name="21 CuadroTexto">
              <a:extLst>
                <a:ext uri="{FF2B5EF4-FFF2-40B4-BE49-F238E27FC236}">
                  <a16:creationId xmlns:a16="http://schemas.microsoft.com/office/drawing/2014/main" id="{47CA8606-176C-4751-B053-DDBCF697BD59}"/>
                </a:ext>
              </a:extLst>
            </xdr:cNvPr>
            <xdr:cNvSpPr txBox="1"/>
          </xdr:nvSpPr>
          <xdr:spPr>
            <a:xfrm>
              <a:off x="6916212" y="15317928"/>
              <a:ext cx="3601499" cy="34637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 xmlns:m="http://schemas.openxmlformats.org/officeDocument/2006/math">
                  <m:acc>
                    <m:accPr>
                      <m:chr m:val="̅"/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accPr>
                    <m:e>
                      <m:sSub>
                        <m:sSubPr>
                          <m:ctrlPr>
                            <a:rPr lang="es-CO" sz="1100" b="1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sSubPr>
                        <m:e>
                          <m:r>
                            <a:rPr lang="es-CO" sz="1100" b="1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𝑽</m:t>
                          </m:r>
                        </m:e>
                        <m:sub>
                          <m:r>
                            <a:rPr lang="es-CO" sz="1100" b="1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𝒊</m:t>
                          </m:r>
                        </m:sub>
                      </m:sSub>
                    </m:e>
                  </m:acc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=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𝟎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.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𝟏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∗(</m:t>
                  </m:r>
                  <m:sSub>
                    <m:sSubPr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𝑽</m:t>
                      </m:r>
                    </m:e>
                    <m:sub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𝒔𝒖𝒑𝒇</m:t>
                      </m:r>
                    </m:sub>
                  </m:sSub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+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𝟑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∗</m:t>
                  </m:r>
                  <m:sSub>
                    <m:sSubPr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𝑽</m:t>
                      </m:r>
                    </m:e>
                    <m:sub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𝟎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.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𝟐</m:t>
                      </m:r>
                    </m:sub>
                  </m:sSub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+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𝟑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∗</m:t>
                  </m:r>
                  <m:sSub>
                    <m:sSubPr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𝑽</m:t>
                      </m:r>
                    </m:e>
                    <m:sub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𝟎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.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𝟔</m:t>
                      </m:r>
                    </m:sub>
                  </m:sSub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+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𝟐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∗</m:t>
                  </m:r>
                  <m:sSub>
                    <m:sSubPr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𝑽</m:t>
                      </m:r>
                    </m:e>
                    <m:sub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𝟎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.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𝟖</m:t>
                      </m:r>
                    </m:sub>
                  </m:sSub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+</m:t>
                  </m:r>
                  <m:sSub>
                    <m:sSubPr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𝑽</m:t>
                      </m:r>
                    </m:e>
                    <m:sub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𝒍𝒆𝒄𝒉𝒐</m:t>
                      </m:r>
                    </m:sub>
                  </m:sSub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)</m:t>
                  </m:r>
                </m:oMath>
              </a14:m>
              <a:r>
                <a:rPr lang="es-CO" sz="1100" b="1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 </a:t>
              </a:r>
            </a:p>
            <a:p>
              <a:pPr marL="0" indent="0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ES" sz="1050" b="1" i="0">
                        <a:solidFill>
                          <a:schemeClr val="tx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</m:oMath>
                </m:oMathPara>
              </a14:m>
              <a:endParaRPr lang="es-ES" sz="1050" b="1" i="0">
                <a:solidFill>
                  <a:schemeClr val="tx1"/>
                </a:solidFill>
                <a:latin typeface="Cambria Math" panose="02040503050406030204" pitchFamily="18" charset="0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20" name="21 CuadroTexto">
              <a:extLst>
                <a:ext uri="{FF2B5EF4-FFF2-40B4-BE49-F238E27FC236}">
                  <a16:creationId xmlns:a16="http://schemas.microsoft.com/office/drawing/2014/main" id="{47CA8606-176C-4751-B053-DDBCF697BD59}"/>
                </a:ext>
              </a:extLst>
            </xdr:cNvPr>
            <xdr:cNvSpPr txBox="1"/>
          </xdr:nvSpPr>
          <xdr:spPr>
            <a:xfrm>
              <a:off x="6916212" y="15317928"/>
              <a:ext cx="3601499" cy="34637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(𝑽_𝒊 ) ̅=𝟎.𝟏∗(𝑽_𝒔𝒖𝒑𝒇+𝟑∗𝑽_(𝟎.𝟐)+𝟑∗𝑽_(𝟎.𝟔)+𝟐∗𝑽_(𝟎.𝟖)+𝑽_𝒍𝒆𝒄𝒉𝒐)</a:t>
              </a:r>
              <a:r>
                <a:rPr lang="es-CO" sz="1100" b="1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 </a:t>
              </a:r>
            </a:p>
            <a:p>
              <a:pPr marL="0" indent="0"/>
              <a:r>
                <a:rPr lang="es-ES" sz="1050" b="1" i="0">
                  <a:solidFill>
                    <a:schemeClr val="tx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 </a:t>
              </a:r>
            </a:p>
          </xdr:txBody>
        </xdr:sp>
      </mc:Fallback>
    </mc:AlternateContent>
    <xdr:clientData/>
  </xdr:oneCellAnchor>
  <xdr:twoCellAnchor editAs="oneCell">
    <xdr:from>
      <xdr:col>1</xdr:col>
      <xdr:colOff>259553</xdr:colOff>
      <xdr:row>1</xdr:row>
      <xdr:rowOff>26968</xdr:rowOff>
    </xdr:from>
    <xdr:to>
      <xdr:col>3</xdr:col>
      <xdr:colOff>402428</xdr:colOff>
      <xdr:row>2</xdr:row>
      <xdr:rowOff>302076</xdr:rowOff>
    </xdr:to>
    <xdr:pic>
      <xdr:nvPicPr>
        <xdr:cNvPr id="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269078" y="84118"/>
          <a:ext cx="1495425" cy="627533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</xdr:pic>
    <xdr:clientData/>
  </xdr:twoCellAnchor>
  <xdr:twoCellAnchor editAs="oneCell">
    <xdr:from>
      <xdr:col>14</xdr:col>
      <xdr:colOff>394642</xdr:colOff>
      <xdr:row>1</xdr:row>
      <xdr:rowOff>38100</xdr:rowOff>
    </xdr:from>
    <xdr:to>
      <xdr:col>15</xdr:col>
      <xdr:colOff>350544</xdr:colOff>
      <xdr:row>2</xdr:row>
      <xdr:rowOff>276225</xdr:rowOff>
    </xdr:to>
    <xdr:pic>
      <xdr:nvPicPr>
        <xdr:cNvPr id="22" name="Picture 9"/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9614842" y="95250"/>
          <a:ext cx="670277" cy="59055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30480</xdr:colOff>
      <xdr:row>14</xdr:row>
      <xdr:rowOff>68580</xdr:rowOff>
    </xdr:from>
    <xdr:ext cx="174535" cy="172227"/>
    <xdr:sp macro="" textlink="">
      <xdr:nvSpPr>
        <xdr:cNvPr id="2" name="CuadroTexto 22">
          <a:extLst>
            <a:ext uri="{FF2B5EF4-FFF2-40B4-BE49-F238E27FC236}">
              <a16:creationId xmlns:a16="http://schemas.microsoft.com/office/drawing/2014/main" id="{FD240DDD-5F74-41EA-B78E-E3B54C280256}"/>
            </a:ext>
          </a:extLst>
        </xdr:cNvPr>
        <xdr:cNvSpPr txBox="1"/>
      </xdr:nvSpPr>
      <xdr:spPr>
        <a:xfrm>
          <a:off x="5678805" y="3859530"/>
          <a:ext cx="17453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es-CO" sz="1100" b="1" i="0" baseline="0">
              <a:latin typeface="Cambria Math" panose="02040503050406030204" pitchFamily="18" charset="0"/>
            </a:rPr>
            <a:t>¯</a:t>
          </a:r>
          <a:r>
            <a:rPr lang="es-CO" sz="1100" b="1" i="0" u="none" baseline="0">
              <a:latin typeface="Cambria Math" panose="02040503050406030204" pitchFamily="18" charset="0"/>
            </a:rPr>
            <a:t>𝐕𝐢</a:t>
          </a:r>
          <a:endParaRPr lang="es-CO" sz="1100" b="1" i="0" u="none" baseline="0">
            <a:latin typeface="Calibri" panose="020F0502020204030204" pitchFamily="34" charset="0"/>
          </a:endParaRPr>
        </a:p>
      </xdr:txBody>
    </xdr:sp>
    <xdr:clientData/>
  </xdr:oneCellAnchor>
  <xdr:oneCellAnchor>
    <xdr:from>
      <xdr:col>7</xdr:col>
      <xdr:colOff>21891</xdr:colOff>
      <xdr:row>139</xdr:row>
      <xdr:rowOff>37798</xdr:rowOff>
    </xdr:from>
    <xdr:ext cx="195823" cy="156518"/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383907B5-7C0E-4BCF-BD7F-B5A6392A02A3}"/>
            </a:ext>
          </a:extLst>
        </xdr:cNvPr>
        <xdr:cNvSpPr txBox="1"/>
      </xdr:nvSpPr>
      <xdr:spPr>
        <a:xfrm>
          <a:off x="4241466" y="25679098"/>
          <a:ext cx="195823" cy="15651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r>
            <a:rPr lang="es-CO" sz="1000" b="1" i="0" baseline="0">
              <a:latin typeface="Cambria Math"/>
            </a:rPr>
            <a:t>¯</a:t>
          </a:r>
          <a:r>
            <a:rPr lang="es-CO" sz="1000" b="1" i="0" baseline="0">
              <a:latin typeface="Cambria Math" panose="02040503050406030204" pitchFamily="18" charset="0"/>
            </a:rPr>
            <a:t>𝐕𝐢</a:t>
          </a:r>
          <a:endParaRPr lang="es-CO" sz="1000" b="1" i="0" baseline="0">
            <a:latin typeface="Calibri" panose="020F0502020204030204" pitchFamily="34" charset="0"/>
          </a:endParaRPr>
        </a:p>
      </xdr:txBody>
    </xdr:sp>
    <xdr:clientData/>
  </xdr:oneCellAnchor>
  <xdr:oneCellAnchor>
    <xdr:from>
      <xdr:col>10</xdr:col>
      <xdr:colOff>306907</xdr:colOff>
      <xdr:row>15</xdr:row>
      <xdr:rowOff>0</xdr:rowOff>
    </xdr:from>
    <xdr:ext cx="153866" cy="196464"/>
    <xdr:sp macro="" textlink="">
      <xdr:nvSpPr>
        <xdr:cNvPr id="4" name="CuadroTexto 1">
          <a:extLst>
            <a:ext uri="{FF2B5EF4-FFF2-40B4-BE49-F238E27FC236}">
              <a16:creationId xmlns:a16="http://schemas.microsoft.com/office/drawing/2014/main" id="{7C620ED8-05B9-4EE2-A144-12F569657F6A}"/>
            </a:ext>
          </a:extLst>
        </xdr:cNvPr>
        <xdr:cNvSpPr txBox="1"/>
      </xdr:nvSpPr>
      <xdr:spPr>
        <a:xfrm>
          <a:off x="6669607" y="4067175"/>
          <a:ext cx="153866" cy="19646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r>
            <a:rPr lang="es-CO" sz="1100" b="1" i="0" baseline="0">
              <a:latin typeface="Cambria Math"/>
            </a:rPr>
            <a:t>¯</a:t>
          </a:r>
          <a:r>
            <a:rPr lang="es-CO" sz="1100" b="1" i="0" baseline="0">
              <a:latin typeface="Cambria Math" panose="02040503050406030204" pitchFamily="18" charset="0"/>
            </a:rPr>
            <a:t>𝐕𝐢</a:t>
          </a:r>
          <a:endParaRPr lang="es-CO" sz="1100" b="1" i="0" baseline="0">
            <a:latin typeface="Calibri" panose="020F0502020204030204" pitchFamily="34" charset="0"/>
          </a:endParaRPr>
        </a:p>
      </xdr:txBody>
    </xdr:sp>
    <xdr:clientData/>
  </xdr:oneCellAnchor>
  <xdr:twoCellAnchor editAs="oneCell">
    <xdr:from>
      <xdr:col>1</xdr:col>
      <xdr:colOff>148167</xdr:colOff>
      <xdr:row>156</xdr:row>
      <xdr:rowOff>22678</xdr:rowOff>
    </xdr:from>
    <xdr:to>
      <xdr:col>5</xdr:col>
      <xdr:colOff>408063</xdr:colOff>
      <xdr:row>161</xdr:row>
      <xdr:rowOff>155047</xdr:rowOff>
    </xdr:to>
    <xdr:pic>
      <xdr:nvPicPr>
        <xdr:cNvPr id="5" name="Imagen 24"/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496" r="1269"/>
        <a:stretch/>
      </xdr:blipFill>
      <xdr:spPr>
        <a:xfrm>
          <a:off x="157692" y="29035828"/>
          <a:ext cx="3041196" cy="1808770"/>
        </a:xfrm>
        <a:prstGeom prst="rect">
          <a:avLst/>
        </a:prstGeom>
        <a:ln w="19050">
          <a:solidFill>
            <a:schemeClr val="tx1"/>
          </a:solidFill>
        </a:ln>
      </xdr:spPr>
    </xdr:pic>
    <xdr:clientData/>
  </xdr:twoCellAnchor>
  <xdr:twoCellAnchor editAs="oneCell">
    <xdr:from>
      <xdr:col>6</xdr:col>
      <xdr:colOff>296333</xdr:colOff>
      <xdr:row>155</xdr:row>
      <xdr:rowOff>172357</xdr:rowOff>
    </xdr:from>
    <xdr:to>
      <xdr:col>10</xdr:col>
      <xdr:colOff>445918</xdr:colOff>
      <xdr:row>161</xdr:row>
      <xdr:rowOff>114226</xdr:rowOff>
    </xdr:to>
    <xdr:pic>
      <xdr:nvPicPr>
        <xdr:cNvPr id="6" name="Imagen 23"/>
        <xdr:cNvPicPr/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047" r="1176"/>
        <a:stretch/>
      </xdr:blipFill>
      <xdr:spPr>
        <a:xfrm>
          <a:off x="3801533" y="28995007"/>
          <a:ext cx="3007085" cy="1808770"/>
        </a:xfrm>
        <a:prstGeom prst="rect">
          <a:avLst/>
        </a:prstGeom>
        <a:ln w="19050">
          <a:solidFill>
            <a:schemeClr val="tx1"/>
          </a:solidFill>
        </a:ln>
      </xdr:spPr>
    </xdr:pic>
    <xdr:clientData/>
  </xdr:twoCellAnchor>
  <xdr:twoCellAnchor editAs="oneCell">
    <xdr:from>
      <xdr:col>6</xdr:col>
      <xdr:colOff>620485</xdr:colOff>
      <xdr:row>164</xdr:row>
      <xdr:rowOff>119743</xdr:rowOff>
    </xdr:from>
    <xdr:to>
      <xdr:col>10</xdr:col>
      <xdr:colOff>103114</xdr:colOff>
      <xdr:row>164</xdr:row>
      <xdr:rowOff>1919743</xdr:rowOff>
    </xdr:to>
    <xdr:pic>
      <xdr:nvPicPr>
        <xdr:cNvPr id="8" name="Imagen 7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25685" y="31714168"/>
          <a:ext cx="2340129" cy="1800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683400</xdr:colOff>
      <xdr:row>164</xdr:row>
      <xdr:rowOff>160887</xdr:rowOff>
    </xdr:from>
    <xdr:to>
      <xdr:col>15</xdr:col>
      <xdr:colOff>166028</xdr:colOff>
      <xdr:row>164</xdr:row>
      <xdr:rowOff>1960887</xdr:rowOff>
    </xdr:to>
    <xdr:pic>
      <xdr:nvPicPr>
        <xdr:cNvPr id="9" name="Imagen 8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60475" y="31755312"/>
          <a:ext cx="2340128" cy="1800000"/>
        </a:xfrm>
        <a:prstGeom prst="rect">
          <a:avLst/>
        </a:prstGeom>
      </xdr:spPr>
    </xdr:pic>
    <xdr:clientData/>
  </xdr:twoCellAnchor>
  <xdr:twoCellAnchor editAs="oneCell">
    <xdr:from>
      <xdr:col>2</xdr:col>
      <xdr:colOff>569056</xdr:colOff>
      <xdr:row>164</xdr:row>
      <xdr:rowOff>49629</xdr:rowOff>
    </xdr:from>
    <xdr:to>
      <xdr:col>4</xdr:col>
      <xdr:colOff>550371</xdr:colOff>
      <xdr:row>164</xdr:row>
      <xdr:rowOff>1969629</xdr:rowOff>
    </xdr:to>
    <xdr:pic>
      <xdr:nvPicPr>
        <xdr:cNvPr id="10" name="Imagen 9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961789" y="31899021"/>
          <a:ext cx="1920000" cy="1410065"/>
        </a:xfrm>
        <a:prstGeom prst="rect">
          <a:avLst/>
        </a:prstGeom>
      </xdr:spPr>
    </xdr:pic>
    <xdr:clientData/>
  </xdr:twoCellAnchor>
  <xdr:oneCellAnchor>
    <xdr:from>
      <xdr:col>4</xdr:col>
      <xdr:colOff>707523</xdr:colOff>
      <xdr:row>133</xdr:row>
      <xdr:rowOff>87920</xdr:rowOff>
    </xdr:from>
    <xdr:ext cx="1519198" cy="30251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" name="CuadroTexto 15">
              <a:extLst>
                <a:ext uri="{FF2B5EF4-FFF2-40B4-BE49-F238E27FC236}">
                  <a16:creationId xmlns:a16="http://schemas.microsoft.com/office/drawing/2014/main" id="{14D38863-A958-44A1-BF80-1962F5ABE349}"/>
                </a:ext>
              </a:extLst>
            </xdr:cNvPr>
            <xdr:cNvSpPr txBox="1"/>
          </xdr:nvSpPr>
          <xdr:spPr>
            <a:xfrm>
              <a:off x="2783973" y="24700520"/>
              <a:ext cx="1519198" cy="30251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bar>
                      <m:barPr>
                        <m:pos m:val="top"/>
                        <m:ctrlPr>
                          <a:rPr lang="es-CO" sz="1050" b="1" i="1">
                            <a:latin typeface="Cambria Math" panose="02040503050406030204" pitchFamily="18" charset="0"/>
                          </a:rPr>
                        </m:ctrlPr>
                      </m:barPr>
                      <m:e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𝐕𝐢</m:t>
                        </m:r>
                      </m:e>
                    </m:bar>
                    <m:r>
                      <a:rPr lang="es-CO" sz="1050" b="1" i="0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s-CO" sz="1050" b="1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s-CO" sz="1050" b="1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𝟎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.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𝟐</m:t>
                            </m:r>
                          </m:sub>
                        </m:sSub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+</m:t>
                        </m:r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𝟐</m:t>
                        </m:r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∗</m:t>
                        </m:r>
                        <m:sSub>
                          <m:sSubPr>
                            <m:ctrlPr>
                              <a:rPr lang="es-CO" sz="1050" b="1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𝟎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.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𝟒</m:t>
                            </m:r>
                          </m:sub>
                        </m:sSub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+</m:t>
                        </m:r>
                        <m:sSub>
                          <m:sSubPr>
                            <m:ctrlPr>
                              <a:rPr lang="es-CO" sz="1050" b="1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𝟎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.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𝟖</m:t>
                            </m:r>
                          </m:sub>
                        </m:sSub>
                      </m:num>
                      <m:den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𝟒</m:t>
                        </m:r>
                      </m:den>
                    </m:f>
                  </m:oMath>
                </m:oMathPara>
              </a14:m>
              <a:endParaRPr lang="es-CO" sz="1050" b="1" i="0"/>
            </a:p>
          </xdr:txBody>
        </xdr:sp>
      </mc:Choice>
      <mc:Fallback xmlns="">
        <xdr:sp macro="" textlink="">
          <xdr:nvSpPr>
            <xdr:cNvPr id="11" name="CuadroTexto 15">
              <a:extLst>
                <a:ext uri="{FF2B5EF4-FFF2-40B4-BE49-F238E27FC236}">
                  <a16:creationId xmlns:a16="http://schemas.microsoft.com/office/drawing/2014/main" id="{14D38863-A958-44A1-BF80-1962F5ABE349}"/>
                </a:ext>
              </a:extLst>
            </xdr:cNvPr>
            <xdr:cNvSpPr txBox="1"/>
          </xdr:nvSpPr>
          <xdr:spPr>
            <a:xfrm>
              <a:off x="2783973" y="24700520"/>
              <a:ext cx="1519198" cy="30251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050" b="1" i="0">
                  <a:latin typeface="Cambria Math" panose="02040503050406030204" pitchFamily="18" charset="0"/>
                </a:rPr>
                <a:t>¯𝐕𝐢=(𝐕_(𝟎.𝟐)+𝟐∗𝐕_(𝟎.𝟒)+𝐕_(𝟎.𝟖))/𝟒</a:t>
              </a:r>
              <a:endParaRPr lang="es-CO" sz="1050" b="1" i="0"/>
            </a:p>
          </xdr:txBody>
        </xdr:sp>
      </mc:Fallback>
    </mc:AlternateContent>
    <xdr:clientData/>
  </xdr:oneCellAnchor>
  <xdr:oneCellAnchor>
    <xdr:from>
      <xdr:col>4</xdr:col>
      <xdr:colOff>455076</xdr:colOff>
      <xdr:row>136</xdr:row>
      <xdr:rowOff>110032</xdr:rowOff>
    </xdr:from>
    <xdr:ext cx="4086888" cy="30867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" name="29 CuadroTexto">
              <a:extLst>
                <a:ext uri="{FF2B5EF4-FFF2-40B4-BE49-F238E27FC236}">
                  <a16:creationId xmlns:a16="http://schemas.microsoft.com/office/drawing/2014/main" id="{47CA8606-176C-4751-B053-DDBCF697BD59}"/>
                </a:ext>
              </a:extLst>
            </xdr:cNvPr>
            <xdr:cNvSpPr txBox="1"/>
          </xdr:nvSpPr>
          <xdr:spPr>
            <a:xfrm>
              <a:off x="2531526" y="25236982"/>
              <a:ext cx="4086888" cy="30867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indent="0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bar>
                      <m:barPr>
                        <m:pos m:val="top"/>
                        <m:ctrlPr>
                          <a:rPr lang="es-CO" sz="1050" b="1" i="1">
                            <a:solidFill>
                              <a:sysClr val="windowText" lastClr="000000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barPr>
                      <m:e>
                        <m:r>
                          <a:rPr lang="es-CO" sz="1050" b="1" i="0">
                            <a:solidFill>
                              <a:sysClr val="windowText" lastClr="000000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𝐕𝐢</m:t>
                        </m:r>
                      </m:e>
                    </m:bar>
                    <m:r>
                      <a:rPr lang="es-ES" sz="1050" b="1" i="0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s-ES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𝟏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𝟐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𝟑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𝟒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𝟓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𝟔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sSub>
                              <m:sSubPr>
                                <m:ctrlPr>
                                  <a:rPr lang="es-ES" sz="1050" b="1" i="1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𝐕</m:t>
                                </m:r>
                              </m:e>
                              <m:sub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𝟎</m:t>
                                </m:r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.</m:t>
                                </m:r>
                                <m:r>
                                  <a:rPr lang="es-CO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𝟕</m:t>
                                </m:r>
                              </m:sub>
                            </m:s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sSub>
                              <m:sSubPr>
                                <m:ctrlPr>
                                  <a:rPr lang="es-ES" sz="1050" b="1" i="1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𝐕</m:t>
                                </m:r>
                              </m:e>
                              <m:sub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𝟎</m:t>
                                </m:r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.</m:t>
                                </m:r>
                                <m:r>
                                  <a:rPr lang="es-CO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𝟖</m:t>
                                </m:r>
                              </m:sub>
                            </m:s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sSub>
                              <m:sSubPr>
                                <m:ctrlPr>
                                  <a:rPr lang="es-ES" sz="1050" b="1" i="1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𝐕</m:t>
                                </m:r>
                              </m:e>
                              <m:sub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𝟎</m:t>
                                </m:r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.</m:t>
                                </m:r>
                                <m:r>
                                  <a:rPr lang="es-CO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𝟗</m:t>
                                </m:r>
                              </m:sub>
                            </m:s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𝐬𝐮𝐩𝐟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 </m:t>
                            </m:r>
                          </m:sub>
                        </m:sSub>
                      </m:num>
                      <m:den>
                        <m:r>
                          <a:rPr lang="es-CO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𝟏𝟎</m:t>
                        </m:r>
                      </m:den>
                    </m:f>
                    <m:r>
                      <a:rPr lang="es-ES" sz="1050" b="1" i="0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</m:oMath>
                </m:oMathPara>
              </a14:m>
              <a:endParaRPr lang="es-ES" sz="1050" b="1" i="0">
                <a:solidFill>
                  <a:sysClr val="windowText" lastClr="000000"/>
                </a:solidFill>
                <a:latin typeface="Cambria Math" panose="02040503050406030204" pitchFamily="18" charset="0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2" name="29 CuadroTexto">
              <a:extLst>
                <a:ext uri="{FF2B5EF4-FFF2-40B4-BE49-F238E27FC236}">
                  <a16:creationId xmlns:a16="http://schemas.microsoft.com/office/drawing/2014/main" id="{47CA8606-176C-4751-B053-DDBCF697BD59}"/>
                </a:ext>
              </a:extLst>
            </xdr:cNvPr>
            <xdr:cNvSpPr txBox="1"/>
          </xdr:nvSpPr>
          <xdr:spPr>
            <a:xfrm>
              <a:off x="2531526" y="25236982"/>
              <a:ext cx="4086888" cy="30867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indent="0"/>
              <a:r>
                <a:rPr lang="es-CO" sz="1050" b="1" i="0">
                  <a:solidFill>
                    <a:sysClr val="windowText" lastClr="00000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¯𝐕𝐢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=(𝐕_(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𝟎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𝟏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𝟎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𝟐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𝟎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𝟑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)+𝐕_(𝟎.𝟒)+𝐕_(𝟎.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𝟓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)+𝐕_(𝟎.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𝟔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)+〖𝐕_(𝟎.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𝟕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)+𝐕_(𝟎.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𝟖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)+𝐕_(𝟎.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𝟗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)+𝐕〗_(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𝐬𝐮𝐩𝐟 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))/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𝟏𝟎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  </a:t>
              </a:r>
            </a:p>
          </xdr:txBody>
        </xdr:sp>
      </mc:Fallback>
    </mc:AlternateContent>
    <xdr:clientData/>
  </xdr:oneCellAnchor>
  <xdr:oneCellAnchor>
    <xdr:from>
      <xdr:col>10</xdr:col>
      <xdr:colOff>342110</xdr:colOff>
      <xdr:row>136</xdr:row>
      <xdr:rowOff>62344</xdr:rowOff>
    </xdr:from>
    <xdr:ext cx="1313516" cy="35502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" name="20 CuadroTexto">
              <a:extLst>
                <a:ext uri="{FF2B5EF4-FFF2-40B4-BE49-F238E27FC236}">
                  <a16:creationId xmlns:a16="http://schemas.microsoft.com/office/drawing/2014/main" id="{B890F03E-4165-4DE0-9AFB-4A22B6951804}"/>
                </a:ext>
              </a:extLst>
            </xdr:cNvPr>
            <xdr:cNvSpPr txBox="1"/>
          </xdr:nvSpPr>
          <xdr:spPr>
            <a:xfrm>
              <a:off x="6704810" y="25189294"/>
              <a:ext cx="1313516" cy="35502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𝐀𝐢</m:t>
                    </m:r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s-CO" sz="105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s-CO" sz="105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(</m:t>
                            </m:r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𝐡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𝐢</m:t>
                            </m:r>
                          </m:sub>
                        </m:sSub>
                        <m:r>
                          <a:rPr lang="es-CO" sz="105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CO" sz="105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𝐡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𝐢</m:t>
                            </m:r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𝟏</m:t>
                            </m:r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 </m:t>
                            </m:r>
                          </m:sub>
                        </m:sSub>
                        <m:r>
                          <a:rPr lang="es-CO" sz="105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)</m:t>
                        </m:r>
                        <m:r>
                          <a:rPr lang="es-ES" sz="1050" b="1" i="0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∗</m:t>
                        </m:r>
                        <m:r>
                          <a:rPr lang="es-CO" sz="105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𝐛</m:t>
                        </m:r>
                      </m:num>
                      <m:den>
                        <m:r>
                          <a:rPr lang="es-CO" sz="105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𝟐</m:t>
                        </m:r>
                      </m:den>
                    </m:f>
                  </m:oMath>
                </m:oMathPara>
              </a14:m>
              <a:endParaRPr lang="es-ES" sz="1050" b="1" i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3" name="20 CuadroTexto">
              <a:extLst>
                <a:ext uri="{FF2B5EF4-FFF2-40B4-BE49-F238E27FC236}">
                  <a16:creationId xmlns:a16="http://schemas.microsoft.com/office/drawing/2014/main" id="{B890F03E-4165-4DE0-9AFB-4A22B6951804}"/>
                </a:ext>
              </a:extLst>
            </xdr:cNvPr>
            <xdr:cNvSpPr txBox="1"/>
          </xdr:nvSpPr>
          <xdr:spPr>
            <a:xfrm>
              <a:off x="6704810" y="25189294"/>
              <a:ext cx="1313516" cy="35502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pPr/>
              <a:r>
                <a:rPr lang="es-ES" sz="105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𝐀𝐢=</a:t>
              </a:r>
              <a:r>
                <a:rPr lang="es-CO" sz="105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(〖(𝐡〗_𝐢+𝐡_(𝐢+𝟏 ))</a:t>
              </a:r>
              <a:r>
                <a:rPr lang="es-ES" sz="105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∗</a:t>
              </a:r>
              <a:r>
                <a:rPr lang="es-CO" sz="105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𝐛)/𝟐</a:t>
              </a:r>
              <a:endParaRPr lang="es-ES" sz="1050" b="1" i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14</xdr:col>
      <xdr:colOff>263225</xdr:colOff>
      <xdr:row>136</xdr:row>
      <xdr:rowOff>133481</xdr:rowOff>
    </xdr:from>
    <xdr:ext cx="1059883" cy="27982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" name="19 CuadroTexto">
              <a:extLst>
                <a:ext uri="{FF2B5EF4-FFF2-40B4-BE49-F238E27FC236}">
                  <a16:creationId xmlns:a16="http://schemas.microsoft.com/office/drawing/2014/main" id="{4B78248E-C7BB-4DE6-B215-EE8384164C2D}"/>
                </a:ext>
              </a:extLst>
            </xdr:cNvPr>
            <xdr:cNvSpPr txBox="1"/>
          </xdr:nvSpPr>
          <xdr:spPr>
            <a:xfrm>
              <a:off x="9483425" y="25260431"/>
              <a:ext cx="1059883" cy="2798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𝐐𝐢</m:t>
                    </m:r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=</m:t>
                    </m:r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𝐀𝐢</m:t>
                    </m:r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∗</m:t>
                    </m:r>
                    <m:bar>
                      <m:barPr>
                        <m:pos m:val="top"/>
                        <m:ctrlPr>
                          <a:rPr lang="es-CO" sz="105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barPr>
                      <m:e>
                        <m:r>
                          <a:rPr lang="es-CO" sz="105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𝐕𝐢</m:t>
                        </m:r>
                      </m:e>
                    </m:bar>
                  </m:oMath>
                </m:oMathPara>
              </a14:m>
              <a:endParaRPr lang="es-ES" sz="1050" b="1" i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4" name="19 CuadroTexto">
              <a:extLst>
                <a:ext uri="{FF2B5EF4-FFF2-40B4-BE49-F238E27FC236}">
                  <a16:creationId xmlns:a16="http://schemas.microsoft.com/office/drawing/2014/main" id="{4B78248E-C7BB-4DE6-B215-EE8384164C2D}"/>
                </a:ext>
              </a:extLst>
            </xdr:cNvPr>
            <xdr:cNvSpPr txBox="1"/>
          </xdr:nvSpPr>
          <xdr:spPr>
            <a:xfrm>
              <a:off x="9483425" y="25260431"/>
              <a:ext cx="1059883" cy="2798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lang="es-ES" sz="105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𝐐𝐢=𝐀𝐢∗</a:t>
              </a:r>
              <a:r>
                <a:rPr lang="es-CO" sz="105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¯𝐕𝐢</a:t>
              </a:r>
              <a:endParaRPr lang="es-ES" sz="1050" b="1" i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2</xdr:col>
      <xdr:colOff>311720</xdr:colOff>
      <xdr:row>136</xdr:row>
      <xdr:rowOff>102839</xdr:rowOff>
    </xdr:from>
    <xdr:ext cx="1058367" cy="32836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" name="CuadroTexto 19">
              <a:extLst>
                <a:ext uri="{FF2B5EF4-FFF2-40B4-BE49-F238E27FC236}">
                  <a16:creationId xmlns:a16="http://schemas.microsoft.com/office/drawing/2014/main" id="{756197F7-E6FE-49DD-AEE2-CFBBF99A9C66}"/>
                </a:ext>
              </a:extLst>
            </xdr:cNvPr>
            <xdr:cNvSpPr txBox="1"/>
          </xdr:nvSpPr>
          <xdr:spPr>
            <a:xfrm>
              <a:off x="959420" y="25229789"/>
              <a:ext cx="1058367" cy="3283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CO" sz="1050" b="1" i="0" u="none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𝐐</m:t>
                    </m:r>
                    <m:d>
                      <m:dPr>
                        <m:begChr m:val="["/>
                        <m:endChr m:val="]"/>
                        <m:ctrlPr>
                          <a:rPr lang="es-CO" sz="1050" b="1" i="1" u="none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s-CO" sz="1050" b="1" i="0" u="none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%</m:t>
                        </m:r>
                      </m:e>
                    </m:d>
                    <m:r>
                      <a:rPr lang="es-CO" sz="1050" b="1" i="0" u="none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= </m:t>
                    </m:r>
                    <m:f>
                      <m:fPr>
                        <m:ctrlPr>
                          <a:rPr lang="es-CO" sz="1050" b="1" i="1" u="none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s-CO" sz="1050" b="1" i="0" u="none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𝐐𝐢</m:t>
                        </m:r>
                      </m:num>
                      <m:den>
                        <m:r>
                          <a:rPr lang="es-CO" sz="1050" b="1" i="0" u="none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𝐐𝐭</m:t>
                        </m:r>
                      </m:den>
                    </m:f>
                    <m:r>
                      <a:rPr lang="es-CO" sz="1050" b="1" i="1" u="none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∗</m:t>
                    </m:r>
                    <m:r>
                      <a:rPr lang="es-CO" sz="1050" b="1" i="1" u="none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𝟏𝟎𝟎</m:t>
                    </m:r>
                  </m:oMath>
                </m:oMathPara>
              </a14:m>
              <a:endParaRPr lang="es-CO" sz="1050" b="1" i="0" u="none">
                <a:solidFill>
                  <a:sysClr val="windowText" lastClr="000000"/>
                </a:solidFill>
              </a:endParaRPr>
            </a:p>
          </xdr:txBody>
        </xdr:sp>
      </mc:Choice>
      <mc:Fallback xmlns="">
        <xdr:sp macro="" textlink="">
          <xdr:nvSpPr>
            <xdr:cNvPr id="15" name="CuadroTexto 19">
              <a:extLst>
                <a:ext uri="{FF2B5EF4-FFF2-40B4-BE49-F238E27FC236}">
                  <a16:creationId xmlns:a16="http://schemas.microsoft.com/office/drawing/2014/main" id="{756197F7-E6FE-49DD-AEE2-CFBBF99A9C66}"/>
                </a:ext>
              </a:extLst>
            </xdr:cNvPr>
            <xdr:cNvSpPr txBox="1"/>
          </xdr:nvSpPr>
          <xdr:spPr>
            <a:xfrm>
              <a:off x="959420" y="25229789"/>
              <a:ext cx="1058367" cy="3283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050" b="1" i="0" u="none">
                  <a:solidFill>
                    <a:sysClr val="windowText" lastClr="000000"/>
                  </a:solidFill>
                  <a:latin typeface="Cambria Math" panose="02040503050406030204" pitchFamily="18" charset="0"/>
                </a:rPr>
                <a:t>𝐐[%]=  𝐐𝐢/𝐐𝐭∗𝟏𝟎𝟎</a:t>
              </a:r>
              <a:endParaRPr lang="es-CO" sz="1050" b="1" i="0" u="none">
                <a:solidFill>
                  <a:sysClr val="windowText" lastClr="000000"/>
                </a:solidFill>
              </a:endParaRPr>
            </a:p>
          </xdr:txBody>
        </xdr:sp>
      </mc:Fallback>
    </mc:AlternateContent>
    <xdr:clientData/>
  </xdr:oneCellAnchor>
  <xdr:oneCellAnchor>
    <xdr:from>
      <xdr:col>12</xdr:col>
      <xdr:colOff>436291</xdr:colOff>
      <xdr:row>136</xdr:row>
      <xdr:rowOff>129757</xdr:rowOff>
    </xdr:from>
    <xdr:ext cx="907300" cy="3179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" name="CuadroTexto 20">
              <a:extLst>
                <a:ext uri="{FF2B5EF4-FFF2-40B4-BE49-F238E27FC236}">
                  <a16:creationId xmlns:a16="http://schemas.microsoft.com/office/drawing/2014/main" id="{E35B2A1D-33C4-4A4B-A9DE-2E22C5485924}"/>
                </a:ext>
              </a:extLst>
            </xdr:cNvPr>
            <xdr:cNvSpPr txBox="1"/>
          </xdr:nvSpPr>
          <xdr:spPr>
            <a:xfrm>
              <a:off x="8227741" y="25256707"/>
              <a:ext cx="907300" cy="3179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indent="0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CO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𝑽𝒎𝒆𝒅𝒊𝒂</m:t>
                    </m:r>
                    <m:r>
                      <a:rPr lang="es-CO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s-CO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es-CO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𝑸𝒕</m:t>
                        </m:r>
                      </m:num>
                      <m:den>
                        <m:r>
                          <a:rPr lang="es-CO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𝑨𝒊</m:t>
                        </m:r>
                      </m:den>
                    </m:f>
                  </m:oMath>
                </m:oMathPara>
              </a14:m>
              <a:endParaRPr lang="es-CO" sz="1100" b="1" i="1">
                <a:solidFill>
                  <a:schemeClr val="tx1"/>
                </a:solidFill>
                <a:effectLst/>
                <a:latin typeface="Cambria Math" panose="02040503050406030204" pitchFamily="18" charset="0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6" name="CuadroTexto 20">
              <a:extLst>
                <a:ext uri="{FF2B5EF4-FFF2-40B4-BE49-F238E27FC236}">
                  <a16:creationId xmlns:a16="http://schemas.microsoft.com/office/drawing/2014/main" id="{E35B2A1D-33C4-4A4B-A9DE-2E22C5485924}"/>
                </a:ext>
              </a:extLst>
            </xdr:cNvPr>
            <xdr:cNvSpPr txBox="1"/>
          </xdr:nvSpPr>
          <xdr:spPr>
            <a:xfrm>
              <a:off x="8227741" y="25256707"/>
              <a:ext cx="907300" cy="3179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indent="0"/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𝑽𝒎𝒆𝒅𝒊𝒂=𝑸𝒕/𝑨𝒊</a:t>
              </a:r>
              <a:endParaRPr lang="es-CO" sz="1100" b="1" i="1">
                <a:solidFill>
                  <a:schemeClr val="tx1"/>
                </a:solidFill>
                <a:effectLst/>
                <a:latin typeface="Cambria Math" panose="02040503050406030204" pitchFamily="18" charset="0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8</xdr:col>
      <xdr:colOff>56087</xdr:colOff>
      <xdr:row>133</xdr:row>
      <xdr:rowOff>56351</xdr:rowOff>
    </xdr:from>
    <xdr:ext cx="1322606" cy="3424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" name="CuadroTexto 21">
              <a:extLst>
                <a:ext uri="{FF2B5EF4-FFF2-40B4-BE49-F238E27FC236}">
                  <a16:creationId xmlns:a16="http://schemas.microsoft.com/office/drawing/2014/main" id="{0E94871D-9018-4FB9-936B-0E0BFD977424}"/>
                </a:ext>
              </a:extLst>
            </xdr:cNvPr>
            <xdr:cNvSpPr txBox="1"/>
          </xdr:nvSpPr>
          <xdr:spPr>
            <a:xfrm>
              <a:off x="4990037" y="24668951"/>
              <a:ext cx="1322606" cy="3424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acc>
                      <m:accPr>
                        <m:chr m:val="̅"/>
                        <m:ctrlPr>
                          <a:rPr lang="es-CO" sz="1000" b="1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sSub>
                          <m:sSubPr>
                            <m:ctrlPr>
                              <a:rPr lang="es-CO" sz="1000" b="1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CO" sz="1000" b="1" i="1">
                                <a:latin typeface="Cambria Math" panose="02040503050406030204" pitchFamily="18" charset="0"/>
                              </a:rPr>
                              <m:t>𝑽</m:t>
                            </m:r>
                          </m:e>
                          <m:sub>
                            <m:r>
                              <a:rPr lang="es-CO" sz="1000" b="1" i="1">
                                <a:latin typeface="Cambria Math" panose="02040503050406030204" pitchFamily="18" charset="0"/>
                              </a:rPr>
                              <m:t>𝒊</m:t>
                            </m:r>
                          </m:sub>
                        </m:sSub>
                      </m:e>
                    </m:acc>
                    <m:d>
                      <m:dPr>
                        <m:begChr m:val="["/>
                        <m:endChr m:val="]"/>
                        <m:ctrlPr>
                          <a:rPr lang="es-CO" sz="1000" b="1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f>
                          <m:fPr>
                            <m:ctrlPr>
                              <a:rPr lang="es-CO" sz="1000" b="1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s-CO" sz="1000" b="1" i="1">
                                <a:latin typeface="Cambria Math" panose="02040503050406030204" pitchFamily="18" charset="0"/>
                              </a:rPr>
                              <m:t>𝒇𝒕</m:t>
                            </m:r>
                          </m:num>
                          <m:den>
                            <m:r>
                              <a:rPr lang="es-CO" sz="1000" b="1" i="1">
                                <a:latin typeface="Cambria Math" panose="02040503050406030204" pitchFamily="18" charset="0"/>
                              </a:rPr>
                              <m:t>𝒔</m:t>
                            </m:r>
                          </m:den>
                        </m:f>
                      </m:e>
                    </m:d>
                    <m:r>
                      <a:rPr lang="es-CO" sz="1000" b="1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s-CO" sz="1000" b="1" i="1">
                        <a:latin typeface="Cambria Math" panose="02040503050406030204" pitchFamily="18" charset="0"/>
                      </a:rPr>
                      <m:t>𝟑</m:t>
                    </m:r>
                    <m:r>
                      <a:rPr lang="es-CO" sz="1000" b="1" i="1">
                        <a:latin typeface="Cambria Math" panose="02040503050406030204" pitchFamily="18" charset="0"/>
                      </a:rPr>
                      <m:t>,</m:t>
                    </m:r>
                    <m:r>
                      <a:rPr lang="es-CO" sz="1000" b="1" i="1">
                        <a:latin typeface="Cambria Math" panose="02040503050406030204" pitchFamily="18" charset="0"/>
                      </a:rPr>
                      <m:t>𝟐𝟖</m:t>
                    </m:r>
                    <m:r>
                      <a:rPr lang="es-CO" sz="1000" b="1" i="1">
                        <a:latin typeface="Cambria Math" panose="02040503050406030204" pitchFamily="18" charset="0"/>
                      </a:rPr>
                      <m:t>∗</m:t>
                    </m:r>
                    <m:acc>
                      <m:accPr>
                        <m:chr m:val="̅"/>
                        <m:ctrlPr>
                          <a:rPr lang="es-CO" sz="10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accPr>
                      <m:e>
                        <m:sSub>
                          <m:sSubPr>
                            <m:ctrlP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𝑽</m:t>
                            </m:r>
                          </m:e>
                          <m:sub>
                            <m: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𝒊</m:t>
                            </m:r>
                          </m:sub>
                        </m:sSub>
                      </m:e>
                    </m:acc>
                    <m:d>
                      <m:dPr>
                        <m:begChr m:val="["/>
                        <m:endChr m:val="]"/>
                        <m:ctrlPr>
                          <a:rPr lang="es-CO" sz="10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dPr>
                      <m:e>
                        <m:f>
                          <m:fPr>
                            <m:ctrlP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fPr>
                          <m:num>
                            <m: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𝒎</m:t>
                            </m:r>
                          </m:num>
                          <m:den>
                            <m: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𝒔</m:t>
                            </m:r>
                          </m:den>
                        </m:f>
                      </m:e>
                    </m:d>
                  </m:oMath>
                </m:oMathPara>
              </a14:m>
              <a:endParaRPr lang="es-CO" sz="1000" b="1" i="0"/>
            </a:p>
          </xdr:txBody>
        </xdr:sp>
      </mc:Choice>
      <mc:Fallback xmlns="">
        <xdr:sp macro="" textlink="">
          <xdr:nvSpPr>
            <xdr:cNvPr id="17" name="CuadroTexto 21">
              <a:extLst>
                <a:ext uri="{FF2B5EF4-FFF2-40B4-BE49-F238E27FC236}">
                  <a16:creationId xmlns:a16="http://schemas.microsoft.com/office/drawing/2014/main" id="{0E94871D-9018-4FB9-936B-0E0BFD977424}"/>
                </a:ext>
              </a:extLst>
            </xdr:cNvPr>
            <xdr:cNvSpPr txBox="1"/>
          </xdr:nvSpPr>
          <xdr:spPr>
            <a:xfrm>
              <a:off x="4990037" y="24668951"/>
              <a:ext cx="1322606" cy="3424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000" b="1" i="0">
                  <a:latin typeface="Cambria Math" panose="02040503050406030204" pitchFamily="18" charset="0"/>
                </a:rPr>
                <a:t>(𝑽_𝒊 ) ̅[𝒇𝒕/𝒔]=𝟑,𝟐𝟖∗</a:t>
              </a:r>
              <a:r>
                <a:rPr lang="es-CO" sz="10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(𝑽_𝒊 ) ̅[𝒎/𝒔]</a:t>
              </a:r>
              <a:endParaRPr lang="es-CO" sz="1000" b="1" i="0"/>
            </a:p>
          </xdr:txBody>
        </xdr:sp>
      </mc:Fallback>
    </mc:AlternateContent>
    <xdr:clientData/>
  </xdr:oneCellAnchor>
  <xdr:oneCellAnchor>
    <xdr:from>
      <xdr:col>2</xdr:col>
      <xdr:colOff>96182</xdr:colOff>
      <xdr:row>133</xdr:row>
      <xdr:rowOff>41166</xdr:rowOff>
    </xdr:from>
    <xdr:ext cx="1500411" cy="3429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" name="CuadroTexto 23">
              <a:extLst>
                <a:ext uri="{FF2B5EF4-FFF2-40B4-BE49-F238E27FC236}">
                  <a16:creationId xmlns:a16="http://schemas.microsoft.com/office/drawing/2014/main" id="{DF4E5537-3FC9-4C1C-AAD2-18E7D998A2C4}"/>
                </a:ext>
              </a:extLst>
            </xdr:cNvPr>
            <xdr:cNvSpPr txBox="1"/>
          </xdr:nvSpPr>
          <xdr:spPr>
            <a:xfrm>
              <a:off x="743882" y="24653766"/>
              <a:ext cx="1500411" cy="3429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d>
                      <m:dPr>
                        <m:begChr m:val="["/>
                        <m:endChr m:val="]"/>
                        <m:ctrlP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s-CO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𝐑𝐩𝐦</m:t>
                        </m:r>
                      </m:e>
                    </m:d>
                    <m:r>
                      <a:rPr lang="es-CO" sz="1050" b="1" i="1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d>
                          <m:dPr>
                            <m:begChr m:val="["/>
                            <m:endChr m:val="]"/>
                            <m:ctrlPr>
                              <a:rPr lang="es-CO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s-CO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  <m:t>𝑹𝒆𝒗</m:t>
                            </m:r>
                          </m:e>
                        </m:d>
                      </m:num>
                      <m:den>
                        <m:r>
                          <a:rPr lang="es-CO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𝐭𝐜</m:t>
                        </m:r>
                        <m:d>
                          <m:dPr>
                            <m:begChr m:val="["/>
                            <m:endChr m:val="]"/>
                            <m:ctrlPr>
                              <a:rPr lang="es-CO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s-CO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  <m:t>𝒔</m:t>
                            </m:r>
                          </m:e>
                        </m:d>
                      </m:den>
                    </m:f>
                    <m:r>
                      <a:rPr lang="es-CO" sz="1050" b="1" i="1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∗</m:t>
                    </m:r>
                    <m:f>
                      <m:fPr>
                        <m:ctrlP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𝟔𝟎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 [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𝒔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]</m:t>
                        </m:r>
                      </m:num>
                      <m:den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𝟏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[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𝒎𝒊𝒏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]</m:t>
                        </m:r>
                      </m:den>
                    </m:f>
                  </m:oMath>
                </m:oMathPara>
              </a14:m>
              <a:endParaRPr lang="es-CO" sz="1050" b="1" i="0">
                <a:solidFill>
                  <a:sysClr val="windowText" lastClr="000000"/>
                </a:solidFill>
              </a:endParaRPr>
            </a:p>
          </xdr:txBody>
        </xdr:sp>
      </mc:Choice>
      <mc:Fallback xmlns="">
        <xdr:sp macro="" textlink="">
          <xdr:nvSpPr>
            <xdr:cNvPr id="18" name="CuadroTexto 23">
              <a:extLst>
                <a:ext uri="{FF2B5EF4-FFF2-40B4-BE49-F238E27FC236}">
                  <a16:creationId xmlns:a16="http://schemas.microsoft.com/office/drawing/2014/main" id="{DF4E5537-3FC9-4C1C-AAD2-18E7D998A2C4}"/>
                </a:ext>
              </a:extLst>
            </xdr:cNvPr>
            <xdr:cNvSpPr txBox="1"/>
          </xdr:nvSpPr>
          <xdr:spPr>
            <a:xfrm>
              <a:off x="743882" y="24653766"/>
              <a:ext cx="1500411" cy="3429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</a:rPr>
                <a:t>[𝐑𝐩𝐦]=[𝑹𝒆𝒗]/𝐭𝐜[𝒔] ∗(𝟔𝟎 [𝒔])/(𝟏[𝒎𝒊𝒏])</a:t>
              </a:r>
              <a:endParaRPr lang="es-CO" sz="1050" b="1" i="0">
                <a:solidFill>
                  <a:sysClr val="windowText" lastClr="000000"/>
                </a:solidFill>
              </a:endParaRPr>
            </a:p>
          </xdr:txBody>
        </xdr:sp>
      </mc:Fallback>
    </mc:AlternateContent>
    <xdr:clientData/>
  </xdr:oneCellAnchor>
  <xdr:oneCellAnchor>
    <xdr:from>
      <xdr:col>10</xdr:col>
      <xdr:colOff>553512</xdr:colOff>
      <xdr:row>133</xdr:row>
      <xdr:rowOff>135078</xdr:rowOff>
    </xdr:from>
    <xdr:ext cx="3601499" cy="34637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" name="21 CuadroTexto">
              <a:extLst>
                <a:ext uri="{FF2B5EF4-FFF2-40B4-BE49-F238E27FC236}">
                  <a16:creationId xmlns:a16="http://schemas.microsoft.com/office/drawing/2014/main" id="{47CA8606-176C-4751-B053-DDBCF697BD59}"/>
                </a:ext>
              </a:extLst>
            </xdr:cNvPr>
            <xdr:cNvSpPr txBox="1"/>
          </xdr:nvSpPr>
          <xdr:spPr>
            <a:xfrm>
              <a:off x="6916212" y="24747678"/>
              <a:ext cx="3601499" cy="34637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 xmlns:m="http://schemas.openxmlformats.org/officeDocument/2006/math">
                  <m:acc>
                    <m:accPr>
                      <m:chr m:val="̅"/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accPr>
                    <m:e>
                      <m:sSub>
                        <m:sSubPr>
                          <m:ctrlPr>
                            <a:rPr lang="es-CO" sz="1100" b="1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sSubPr>
                        <m:e>
                          <m:r>
                            <a:rPr lang="es-CO" sz="1100" b="1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𝑽</m:t>
                          </m:r>
                        </m:e>
                        <m:sub>
                          <m:r>
                            <a:rPr lang="es-CO" sz="1100" b="1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𝒊</m:t>
                          </m:r>
                        </m:sub>
                      </m:sSub>
                    </m:e>
                  </m:acc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=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𝟎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.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𝟏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∗(</m:t>
                  </m:r>
                  <m:sSub>
                    <m:sSubPr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𝑽</m:t>
                      </m:r>
                    </m:e>
                    <m:sub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𝒔𝒖𝒑𝒇</m:t>
                      </m:r>
                    </m:sub>
                  </m:sSub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+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𝟑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∗</m:t>
                  </m:r>
                  <m:sSub>
                    <m:sSubPr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𝑽</m:t>
                      </m:r>
                    </m:e>
                    <m:sub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𝟎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.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𝟐</m:t>
                      </m:r>
                    </m:sub>
                  </m:sSub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+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𝟑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∗</m:t>
                  </m:r>
                  <m:sSub>
                    <m:sSubPr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𝑽</m:t>
                      </m:r>
                    </m:e>
                    <m:sub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𝟎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.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𝟔</m:t>
                      </m:r>
                    </m:sub>
                  </m:sSub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+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𝟐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∗</m:t>
                  </m:r>
                  <m:sSub>
                    <m:sSubPr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𝑽</m:t>
                      </m:r>
                    </m:e>
                    <m:sub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𝟎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.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𝟖</m:t>
                      </m:r>
                    </m:sub>
                  </m:sSub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+</m:t>
                  </m:r>
                  <m:sSub>
                    <m:sSubPr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𝑽</m:t>
                      </m:r>
                    </m:e>
                    <m:sub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𝒍𝒆𝒄𝒉𝒐</m:t>
                      </m:r>
                    </m:sub>
                  </m:sSub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)</m:t>
                  </m:r>
                </m:oMath>
              </a14:m>
              <a:r>
                <a:rPr lang="es-CO" sz="1100" b="1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 </a:t>
              </a:r>
            </a:p>
            <a:p>
              <a:pPr marL="0" indent="0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ES" sz="1050" b="1" i="0">
                        <a:solidFill>
                          <a:schemeClr val="tx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</m:oMath>
                </m:oMathPara>
              </a14:m>
              <a:endParaRPr lang="es-ES" sz="1050" b="1" i="0">
                <a:solidFill>
                  <a:schemeClr val="tx1"/>
                </a:solidFill>
                <a:latin typeface="Cambria Math" panose="02040503050406030204" pitchFamily="18" charset="0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9" name="21 CuadroTexto">
              <a:extLst>
                <a:ext uri="{FF2B5EF4-FFF2-40B4-BE49-F238E27FC236}">
                  <a16:creationId xmlns:a16="http://schemas.microsoft.com/office/drawing/2014/main" id="{47CA8606-176C-4751-B053-DDBCF697BD59}"/>
                </a:ext>
              </a:extLst>
            </xdr:cNvPr>
            <xdr:cNvSpPr txBox="1"/>
          </xdr:nvSpPr>
          <xdr:spPr>
            <a:xfrm>
              <a:off x="6916212" y="24747678"/>
              <a:ext cx="3601499" cy="34637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(𝑽_𝒊 ) ̅=𝟎.𝟏∗(𝑽_𝒔𝒖𝒑𝒇+𝟑∗𝑽_(𝟎.𝟐)+𝟑∗𝑽_(𝟎.𝟔)+𝟐∗𝑽_(𝟎.𝟖)+𝑽_𝒍𝒆𝒄𝒉𝒐)</a:t>
              </a:r>
              <a:r>
                <a:rPr lang="es-CO" sz="1100" b="1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 </a:t>
              </a:r>
            </a:p>
            <a:p>
              <a:pPr marL="0" indent="0"/>
              <a:r>
                <a:rPr lang="es-ES" sz="1050" b="1" i="0">
                  <a:solidFill>
                    <a:schemeClr val="tx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 </a:t>
              </a:r>
            </a:p>
          </xdr:txBody>
        </xdr:sp>
      </mc:Fallback>
    </mc:AlternateContent>
    <xdr:clientData/>
  </xdr:oneCellAnchor>
  <xdr:twoCellAnchor editAs="oneCell">
    <xdr:from>
      <xdr:col>1</xdr:col>
      <xdr:colOff>259553</xdr:colOff>
      <xdr:row>1</xdr:row>
      <xdr:rowOff>26968</xdr:rowOff>
    </xdr:from>
    <xdr:to>
      <xdr:col>3</xdr:col>
      <xdr:colOff>402428</xdr:colOff>
      <xdr:row>2</xdr:row>
      <xdr:rowOff>302076</xdr:rowOff>
    </xdr:to>
    <xdr:pic>
      <xdr:nvPicPr>
        <xdr:cNvPr id="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269078" y="84118"/>
          <a:ext cx="1495425" cy="627533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</xdr:pic>
    <xdr:clientData/>
  </xdr:twoCellAnchor>
  <xdr:twoCellAnchor editAs="oneCell">
    <xdr:from>
      <xdr:col>14</xdr:col>
      <xdr:colOff>394642</xdr:colOff>
      <xdr:row>1</xdr:row>
      <xdr:rowOff>38100</xdr:rowOff>
    </xdr:from>
    <xdr:to>
      <xdr:col>15</xdr:col>
      <xdr:colOff>350544</xdr:colOff>
      <xdr:row>2</xdr:row>
      <xdr:rowOff>276225</xdr:rowOff>
    </xdr:to>
    <xdr:pic>
      <xdr:nvPicPr>
        <xdr:cNvPr id="21" name="Picture 9"/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9614842" y="95250"/>
          <a:ext cx="670277" cy="59055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30480</xdr:colOff>
      <xdr:row>14</xdr:row>
      <xdr:rowOff>68580</xdr:rowOff>
    </xdr:from>
    <xdr:ext cx="174535" cy="172227"/>
    <xdr:sp macro="" textlink="">
      <xdr:nvSpPr>
        <xdr:cNvPr id="2" name="CuadroTexto 22">
          <a:extLst>
            <a:ext uri="{FF2B5EF4-FFF2-40B4-BE49-F238E27FC236}">
              <a16:creationId xmlns:a16="http://schemas.microsoft.com/office/drawing/2014/main" id="{FD240DDD-5F74-41EA-B78E-E3B54C280256}"/>
            </a:ext>
          </a:extLst>
        </xdr:cNvPr>
        <xdr:cNvSpPr txBox="1"/>
      </xdr:nvSpPr>
      <xdr:spPr>
        <a:xfrm>
          <a:off x="5678805" y="3859530"/>
          <a:ext cx="17453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es-CO" sz="1100" b="1" i="0" baseline="0">
              <a:latin typeface="Cambria Math" panose="02040503050406030204" pitchFamily="18" charset="0"/>
            </a:rPr>
            <a:t>¯</a:t>
          </a:r>
          <a:r>
            <a:rPr lang="es-CO" sz="1100" b="1" i="0" u="none" baseline="0">
              <a:latin typeface="Cambria Math" panose="02040503050406030204" pitchFamily="18" charset="0"/>
            </a:rPr>
            <a:t>𝐕𝐢</a:t>
          </a:r>
          <a:endParaRPr lang="es-CO" sz="1100" b="1" i="0" u="none" baseline="0">
            <a:latin typeface="Calibri" panose="020F0502020204030204" pitchFamily="34" charset="0"/>
          </a:endParaRPr>
        </a:p>
      </xdr:txBody>
    </xdr:sp>
    <xdr:clientData/>
  </xdr:oneCellAnchor>
  <xdr:oneCellAnchor>
    <xdr:from>
      <xdr:col>7</xdr:col>
      <xdr:colOff>21891</xdr:colOff>
      <xdr:row>99</xdr:row>
      <xdr:rowOff>37798</xdr:rowOff>
    </xdr:from>
    <xdr:ext cx="263859" cy="156518"/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383907B5-7C0E-4BCF-BD7F-B5A6392A02A3}"/>
            </a:ext>
          </a:extLst>
        </xdr:cNvPr>
        <xdr:cNvSpPr txBox="1"/>
      </xdr:nvSpPr>
      <xdr:spPr>
        <a:xfrm>
          <a:off x="4241466" y="18821098"/>
          <a:ext cx="263859" cy="15651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r>
            <a:rPr lang="es-CO" sz="1000" b="1" i="0" baseline="0">
              <a:latin typeface="Cambria Math"/>
            </a:rPr>
            <a:t>¯</a:t>
          </a:r>
          <a:r>
            <a:rPr lang="es-CO" sz="1000" b="1" i="0" baseline="0">
              <a:latin typeface="Cambria Math" panose="02040503050406030204" pitchFamily="18" charset="0"/>
            </a:rPr>
            <a:t>𝐕𝐢</a:t>
          </a:r>
          <a:endParaRPr lang="es-CO" sz="1000" b="1" i="0" baseline="0">
            <a:latin typeface="Calibri" panose="020F0502020204030204" pitchFamily="34" charset="0"/>
          </a:endParaRPr>
        </a:p>
      </xdr:txBody>
    </xdr:sp>
    <xdr:clientData/>
  </xdr:oneCellAnchor>
  <xdr:oneCellAnchor>
    <xdr:from>
      <xdr:col>10</xdr:col>
      <xdr:colOff>306907</xdr:colOff>
      <xdr:row>15</xdr:row>
      <xdr:rowOff>0</xdr:rowOff>
    </xdr:from>
    <xdr:ext cx="153866" cy="196464"/>
    <xdr:sp macro="" textlink="">
      <xdr:nvSpPr>
        <xdr:cNvPr id="4" name="CuadroTexto 1">
          <a:extLst>
            <a:ext uri="{FF2B5EF4-FFF2-40B4-BE49-F238E27FC236}">
              <a16:creationId xmlns:a16="http://schemas.microsoft.com/office/drawing/2014/main" id="{7C620ED8-05B9-4EE2-A144-12F569657F6A}"/>
            </a:ext>
          </a:extLst>
        </xdr:cNvPr>
        <xdr:cNvSpPr txBox="1"/>
      </xdr:nvSpPr>
      <xdr:spPr>
        <a:xfrm>
          <a:off x="6669607" y="4067175"/>
          <a:ext cx="153866" cy="19646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r>
            <a:rPr lang="es-CO" sz="1100" b="1" i="0" baseline="0">
              <a:latin typeface="Cambria Math"/>
            </a:rPr>
            <a:t>¯</a:t>
          </a:r>
          <a:r>
            <a:rPr lang="es-CO" sz="1100" b="1" i="0" baseline="0">
              <a:latin typeface="Cambria Math" panose="02040503050406030204" pitchFamily="18" charset="0"/>
            </a:rPr>
            <a:t>𝐕𝐢</a:t>
          </a:r>
          <a:endParaRPr lang="es-CO" sz="1100" b="1" i="0" baseline="0">
            <a:latin typeface="Calibri" panose="020F0502020204030204" pitchFamily="34" charset="0"/>
          </a:endParaRPr>
        </a:p>
      </xdr:txBody>
    </xdr:sp>
    <xdr:clientData/>
  </xdr:oneCellAnchor>
  <xdr:twoCellAnchor editAs="oneCell">
    <xdr:from>
      <xdr:col>1</xdr:col>
      <xdr:colOff>148167</xdr:colOff>
      <xdr:row>117</xdr:row>
      <xdr:rowOff>63500</xdr:rowOff>
    </xdr:from>
    <xdr:to>
      <xdr:col>5</xdr:col>
      <xdr:colOff>408063</xdr:colOff>
      <xdr:row>121</xdr:row>
      <xdr:rowOff>386370</xdr:rowOff>
    </xdr:to>
    <xdr:pic>
      <xdr:nvPicPr>
        <xdr:cNvPr id="5" name="Imagen 24"/>
        <xdr:cNvPicPr/>
      </xdr:nvPicPr>
      <xdr:blipFill rotWithShape="1"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57692" y="22409150"/>
          <a:ext cx="3041196" cy="1808770"/>
        </a:xfrm>
        <a:prstGeom prst="rect">
          <a:avLst/>
        </a:prstGeom>
        <a:ln w="19050">
          <a:solidFill>
            <a:schemeClr val="tx1"/>
          </a:solidFill>
        </a:ln>
      </xdr:spPr>
    </xdr:pic>
    <xdr:clientData/>
  </xdr:twoCellAnchor>
  <xdr:twoCellAnchor editAs="oneCell">
    <xdr:from>
      <xdr:col>6</xdr:col>
      <xdr:colOff>296333</xdr:colOff>
      <xdr:row>117</xdr:row>
      <xdr:rowOff>63500</xdr:rowOff>
    </xdr:from>
    <xdr:to>
      <xdr:col>10</xdr:col>
      <xdr:colOff>445918</xdr:colOff>
      <xdr:row>121</xdr:row>
      <xdr:rowOff>386370</xdr:rowOff>
    </xdr:to>
    <xdr:pic>
      <xdr:nvPicPr>
        <xdr:cNvPr id="6" name="Imagen 23"/>
        <xdr:cNvPicPr/>
      </xdr:nvPicPr>
      <xdr:blipFill rotWithShape="1"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3801533" y="22409150"/>
          <a:ext cx="3007085" cy="1808770"/>
        </a:xfrm>
        <a:prstGeom prst="rect">
          <a:avLst/>
        </a:prstGeom>
        <a:ln w="19050">
          <a:solidFill>
            <a:schemeClr val="tx1"/>
          </a:solidFill>
        </a:ln>
      </xdr:spPr>
    </xdr:pic>
    <xdr:clientData/>
  </xdr:twoCellAnchor>
  <xdr:oneCellAnchor>
    <xdr:from>
      <xdr:col>4</xdr:col>
      <xdr:colOff>707523</xdr:colOff>
      <xdr:row>93</xdr:row>
      <xdr:rowOff>87920</xdr:rowOff>
    </xdr:from>
    <xdr:ext cx="1519198" cy="30251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CuadroTexto 15">
              <a:extLst>
                <a:ext uri="{FF2B5EF4-FFF2-40B4-BE49-F238E27FC236}">
                  <a16:creationId xmlns:a16="http://schemas.microsoft.com/office/drawing/2014/main" id="{14D38863-A958-44A1-BF80-1962F5ABE349}"/>
                </a:ext>
              </a:extLst>
            </xdr:cNvPr>
            <xdr:cNvSpPr txBox="1"/>
          </xdr:nvSpPr>
          <xdr:spPr>
            <a:xfrm>
              <a:off x="2783973" y="17842520"/>
              <a:ext cx="1519198" cy="30251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bar>
                      <m:barPr>
                        <m:pos m:val="top"/>
                        <m:ctrlPr>
                          <a:rPr lang="es-CO" sz="1050" b="1" i="1">
                            <a:latin typeface="Cambria Math" panose="02040503050406030204" pitchFamily="18" charset="0"/>
                          </a:rPr>
                        </m:ctrlPr>
                      </m:barPr>
                      <m:e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𝐕𝐢</m:t>
                        </m:r>
                      </m:e>
                    </m:bar>
                    <m:r>
                      <a:rPr lang="es-CO" sz="1050" b="1" i="0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s-CO" sz="1050" b="1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s-CO" sz="1050" b="1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𝟎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.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𝟐</m:t>
                            </m:r>
                          </m:sub>
                        </m:sSub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+</m:t>
                        </m:r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𝟐</m:t>
                        </m:r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∗</m:t>
                        </m:r>
                        <m:sSub>
                          <m:sSubPr>
                            <m:ctrlPr>
                              <a:rPr lang="es-CO" sz="1050" b="1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𝟎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.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𝟒</m:t>
                            </m:r>
                          </m:sub>
                        </m:sSub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+</m:t>
                        </m:r>
                        <m:sSub>
                          <m:sSubPr>
                            <m:ctrlPr>
                              <a:rPr lang="es-CO" sz="1050" b="1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𝟎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.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𝟖</m:t>
                            </m:r>
                          </m:sub>
                        </m:sSub>
                      </m:num>
                      <m:den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𝟒</m:t>
                        </m:r>
                      </m:den>
                    </m:f>
                  </m:oMath>
                </m:oMathPara>
              </a14:m>
              <a:endParaRPr lang="es-CO" sz="1050" b="1" i="0"/>
            </a:p>
          </xdr:txBody>
        </xdr:sp>
      </mc:Choice>
      <mc:Fallback xmlns="">
        <xdr:sp macro="" textlink="">
          <xdr:nvSpPr>
            <xdr:cNvPr id="8" name="CuadroTexto 15">
              <a:extLst>
                <a:ext uri="{FF2B5EF4-FFF2-40B4-BE49-F238E27FC236}">
                  <a16:creationId xmlns:a16="http://schemas.microsoft.com/office/drawing/2014/main" id="{14D38863-A958-44A1-BF80-1962F5ABE349}"/>
                </a:ext>
              </a:extLst>
            </xdr:cNvPr>
            <xdr:cNvSpPr txBox="1"/>
          </xdr:nvSpPr>
          <xdr:spPr>
            <a:xfrm>
              <a:off x="2783973" y="17842520"/>
              <a:ext cx="1519198" cy="30251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050" b="1" i="0">
                  <a:latin typeface="Cambria Math" panose="02040503050406030204" pitchFamily="18" charset="0"/>
                </a:rPr>
                <a:t>¯𝐕𝐢=(𝐕_(𝟎.𝟐)+𝟐∗𝐕_(𝟎.𝟒)+𝐕_(𝟎.𝟖))/𝟒</a:t>
              </a:r>
              <a:endParaRPr lang="es-CO" sz="1050" b="1" i="0"/>
            </a:p>
          </xdr:txBody>
        </xdr:sp>
      </mc:Fallback>
    </mc:AlternateContent>
    <xdr:clientData/>
  </xdr:oneCellAnchor>
  <xdr:oneCellAnchor>
    <xdr:from>
      <xdr:col>4</xdr:col>
      <xdr:colOff>455076</xdr:colOff>
      <xdr:row>96</xdr:row>
      <xdr:rowOff>110032</xdr:rowOff>
    </xdr:from>
    <xdr:ext cx="4086888" cy="30867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" name="29 CuadroTexto">
              <a:extLst>
                <a:ext uri="{FF2B5EF4-FFF2-40B4-BE49-F238E27FC236}">
                  <a16:creationId xmlns:a16="http://schemas.microsoft.com/office/drawing/2014/main" id="{47CA8606-176C-4751-B053-DDBCF697BD59}"/>
                </a:ext>
              </a:extLst>
            </xdr:cNvPr>
            <xdr:cNvSpPr txBox="1"/>
          </xdr:nvSpPr>
          <xdr:spPr>
            <a:xfrm>
              <a:off x="2531526" y="18378982"/>
              <a:ext cx="4086888" cy="30867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indent="0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bar>
                      <m:barPr>
                        <m:pos m:val="top"/>
                        <m:ctrlPr>
                          <a:rPr lang="es-CO" sz="1050" b="1" i="1">
                            <a:solidFill>
                              <a:sysClr val="windowText" lastClr="000000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barPr>
                      <m:e>
                        <m:r>
                          <a:rPr lang="es-CO" sz="1050" b="1" i="0">
                            <a:solidFill>
                              <a:sysClr val="windowText" lastClr="000000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𝐕𝐢</m:t>
                        </m:r>
                      </m:e>
                    </m:bar>
                    <m:r>
                      <a:rPr lang="es-ES" sz="1050" b="1" i="0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s-ES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𝟏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𝟐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𝟑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𝟒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𝟓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𝟔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sSub>
                              <m:sSubPr>
                                <m:ctrlPr>
                                  <a:rPr lang="es-ES" sz="1050" b="1" i="1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𝐕</m:t>
                                </m:r>
                              </m:e>
                              <m:sub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𝟎</m:t>
                                </m:r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.</m:t>
                                </m:r>
                                <m:r>
                                  <a:rPr lang="es-CO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𝟕</m:t>
                                </m:r>
                              </m:sub>
                            </m:s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sSub>
                              <m:sSubPr>
                                <m:ctrlPr>
                                  <a:rPr lang="es-ES" sz="1050" b="1" i="1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𝐕</m:t>
                                </m:r>
                              </m:e>
                              <m:sub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𝟎</m:t>
                                </m:r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.</m:t>
                                </m:r>
                                <m:r>
                                  <a:rPr lang="es-CO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𝟖</m:t>
                                </m:r>
                              </m:sub>
                            </m:s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sSub>
                              <m:sSubPr>
                                <m:ctrlPr>
                                  <a:rPr lang="es-ES" sz="1050" b="1" i="1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𝐕</m:t>
                                </m:r>
                              </m:e>
                              <m:sub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𝟎</m:t>
                                </m:r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.</m:t>
                                </m:r>
                                <m:r>
                                  <a:rPr lang="es-CO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𝟗</m:t>
                                </m:r>
                              </m:sub>
                            </m:s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𝐬𝐮𝐩𝐟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 </m:t>
                            </m:r>
                          </m:sub>
                        </m:sSub>
                      </m:num>
                      <m:den>
                        <m:r>
                          <a:rPr lang="es-CO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𝟏𝟎</m:t>
                        </m:r>
                      </m:den>
                    </m:f>
                    <m:r>
                      <a:rPr lang="es-ES" sz="1050" b="1" i="0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</m:oMath>
                </m:oMathPara>
              </a14:m>
              <a:endParaRPr lang="es-ES" sz="1050" b="1" i="0">
                <a:solidFill>
                  <a:sysClr val="windowText" lastClr="000000"/>
                </a:solidFill>
                <a:latin typeface="Cambria Math" panose="02040503050406030204" pitchFamily="18" charset="0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9" name="29 CuadroTexto">
              <a:extLst>
                <a:ext uri="{FF2B5EF4-FFF2-40B4-BE49-F238E27FC236}">
                  <a16:creationId xmlns:a16="http://schemas.microsoft.com/office/drawing/2014/main" id="{47CA8606-176C-4751-B053-DDBCF697BD59}"/>
                </a:ext>
              </a:extLst>
            </xdr:cNvPr>
            <xdr:cNvSpPr txBox="1"/>
          </xdr:nvSpPr>
          <xdr:spPr>
            <a:xfrm>
              <a:off x="2531526" y="18378982"/>
              <a:ext cx="4086888" cy="30867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indent="0"/>
              <a:r>
                <a:rPr lang="es-CO" sz="1050" b="1" i="0">
                  <a:solidFill>
                    <a:sysClr val="windowText" lastClr="00000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¯𝐕𝐢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=(𝐕_(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𝟎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𝟏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𝟎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𝟐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𝟎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𝟑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)+𝐕_(𝟎.𝟒)+𝐕_(𝟎.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𝟓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)+𝐕_(𝟎.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𝟔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)+〖𝐕_(𝟎.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𝟕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)+𝐕_(𝟎.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𝟖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)+𝐕_(𝟎.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𝟗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)+𝐕〗_(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𝐬𝐮𝐩𝐟 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))/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𝟏𝟎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  </a:t>
              </a:r>
            </a:p>
          </xdr:txBody>
        </xdr:sp>
      </mc:Fallback>
    </mc:AlternateContent>
    <xdr:clientData/>
  </xdr:oneCellAnchor>
  <xdr:oneCellAnchor>
    <xdr:from>
      <xdr:col>10</xdr:col>
      <xdr:colOff>342110</xdr:colOff>
      <xdr:row>96</xdr:row>
      <xdr:rowOff>62344</xdr:rowOff>
    </xdr:from>
    <xdr:ext cx="1313516" cy="35502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" name="20 CuadroTexto">
              <a:extLst>
                <a:ext uri="{FF2B5EF4-FFF2-40B4-BE49-F238E27FC236}">
                  <a16:creationId xmlns:a16="http://schemas.microsoft.com/office/drawing/2014/main" id="{B890F03E-4165-4DE0-9AFB-4A22B6951804}"/>
                </a:ext>
              </a:extLst>
            </xdr:cNvPr>
            <xdr:cNvSpPr txBox="1"/>
          </xdr:nvSpPr>
          <xdr:spPr>
            <a:xfrm>
              <a:off x="6704810" y="18331294"/>
              <a:ext cx="1313516" cy="35502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𝐀𝐢</m:t>
                    </m:r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s-CO" sz="105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s-CO" sz="105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(</m:t>
                            </m:r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𝐡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𝐢</m:t>
                            </m:r>
                          </m:sub>
                        </m:sSub>
                        <m:r>
                          <a:rPr lang="es-CO" sz="105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CO" sz="105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𝐡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𝐢</m:t>
                            </m:r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𝟏</m:t>
                            </m:r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 </m:t>
                            </m:r>
                          </m:sub>
                        </m:sSub>
                        <m:r>
                          <a:rPr lang="es-CO" sz="105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)</m:t>
                        </m:r>
                        <m:r>
                          <a:rPr lang="es-ES" sz="1050" b="1" i="0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∗</m:t>
                        </m:r>
                        <m:r>
                          <a:rPr lang="es-CO" sz="105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𝐛</m:t>
                        </m:r>
                      </m:num>
                      <m:den>
                        <m:r>
                          <a:rPr lang="es-CO" sz="105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𝟐</m:t>
                        </m:r>
                      </m:den>
                    </m:f>
                  </m:oMath>
                </m:oMathPara>
              </a14:m>
              <a:endParaRPr lang="es-ES" sz="1050" b="1" i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0" name="20 CuadroTexto">
              <a:extLst>
                <a:ext uri="{FF2B5EF4-FFF2-40B4-BE49-F238E27FC236}">
                  <a16:creationId xmlns:a16="http://schemas.microsoft.com/office/drawing/2014/main" id="{B890F03E-4165-4DE0-9AFB-4A22B6951804}"/>
                </a:ext>
              </a:extLst>
            </xdr:cNvPr>
            <xdr:cNvSpPr txBox="1"/>
          </xdr:nvSpPr>
          <xdr:spPr>
            <a:xfrm>
              <a:off x="6704810" y="18331294"/>
              <a:ext cx="1313516" cy="35502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pPr/>
              <a:r>
                <a:rPr lang="es-ES" sz="105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𝐀𝐢=</a:t>
              </a:r>
              <a:r>
                <a:rPr lang="es-CO" sz="105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(〖(𝐡〗_𝐢+𝐡_(𝐢+𝟏 ))</a:t>
              </a:r>
              <a:r>
                <a:rPr lang="es-ES" sz="105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∗</a:t>
              </a:r>
              <a:r>
                <a:rPr lang="es-CO" sz="105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𝐛)/𝟐</a:t>
              </a:r>
              <a:endParaRPr lang="es-ES" sz="1050" b="1" i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14</xdr:col>
      <xdr:colOff>263225</xdr:colOff>
      <xdr:row>96</xdr:row>
      <xdr:rowOff>133481</xdr:rowOff>
    </xdr:from>
    <xdr:ext cx="1059883" cy="27982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" name="19 CuadroTexto">
              <a:extLst>
                <a:ext uri="{FF2B5EF4-FFF2-40B4-BE49-F238E27FC236}">
                  <a16:creationId xmlns:a16="http://schemas.microsoft.com/office/drawing/2014/main" id="{4B78248E-C7BB-4DE6-B215-EE8384164C2D}"/>
                </a:ext>
              </a:extLst>
            </xdr:cNvPr>
            <xdr:cNvSpPr txBox="1"/>
          </xdr:nvSpPr>
          <xdr:spPr>
            <a:xfrm>
              <a:off x="9483425" y="18402431"/>
              <a:ext cx="1059883" cy="2798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𝐐𝐢</m:t>
                    </m:r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=</m:t>
                    </m:r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𝐀𝐢</m:t>
                    </m:r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∗</m:t>
                    </m:r>
                    <m:bar>
                      <m:barPr>
                        <m:pos m:val="top"/>
                        <m:ctrlPr>
                          <a:rPr lang="es-CO" sz="105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barPr>
                      <m:e>
                        <m:r>
                          <a:rPr lang="es-CO" sz="105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𝐕𝐢</m:t>
                        </m:r>
                      </m:e>
                    </m:bar>
                  </m:oMath>
                </m:oMathPara>
              </a14:m>
              <a:endParaRPr lang="es-ES" sz="1050" b="1" i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1" name="19 CuadroTexto">
              <a:extLst>
                <a:ext uri="{FF2B5EF4-FFF2-40B4-BE49-F238E27FC236}">
                  <a16:creationId xmlns:a16="http://schemas.microsoft.com/office/drawing/2014/main" id="{4B78248E-C7BB-4DE6-B215-EE8384164C2D}"/>
                </a:ext>
              </a:extLst>
            </xdr:cNvPr>
            <xdr:cNvSpPr txBox="1"/>
          </xdr:nvSpPr>
          <xdr:spPr>
            <a:xfrm>
              <a:off x="9483425" y="18402431"/>
              <a:ext cx="1059883" cy="2798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lang="es-ES" sz="105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𝐐𝐢=𝐀𝐢∗</a:t>
              </a:r>
              <a:r>
                <a:rPr lang="es-CO" sz="105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¯𝐕𝐢</a:t>
              </a:r>
              <a:endParaRPr lang="es-ES" sz="1050" b="1" i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2</xdr:col>
      <xdr:colOff>311720</xdr:colOff>
      <xdr:row>96</xdr:row>
      <xdr:rowOff>102839</xdr:rowOff>
    </xdr:from>
    <xdr:ext cx="1058367" cy="32836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" name="CuadroTexto 19">
              <a:extLst>
                <a:ext uri="{FF2B5EF4-FFF2-40B4-BE49-F238E27FC236}">
                  <a16:creationId xmlns:a16="http://schemas.microsoft.com/office/drawing/2014/main" id="{756197F7-E6FE-49DD-AEE2-CFBBF99A9C66}"/>
                </a:ext>
              </a:extLst>
            </xdr:cNvPr>
            <xdr:cNvSpPr txBox="1"/>
          </xdr:nvSpPr>
          <xdr:spPr>
            <a:xfrm>
              <a:off x="959420" y="18371789"/>
              <a:ext cx="1058367" cy="3283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CO" sz="1050" b="1" i="0" u="none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𝐐</m:t>
                    </m:r>
                    <m:d>
                      <m:dPr>
                        <m:begChr m:val="["/>
                        <m:endChr m:val="]"/>
                        <m:ctrlPr>
                          <a:rPr lang="es-CO" sz="1050" b="1" i="1" u="none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s-CO" sz="1050" b="1" i="0" u="none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%</m:t>
                        </m:r>
                      </m:e>
                    </m:d>
                    <m:r>
                      <a:rPr lang="es-CO" sz="1050" b="1" i="0" u="none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= </m:t>
                    </m:r>
                    <m:f>
                      <m:fPr>
                        <m:ctrlPr>
                          <a:rPr lang="es-CO" sz="1050" b="1" i="1" u="none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s-CO" sz="1050" b="1" i="0" u="none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𝐐𝐢</m:t>
                        </m:r>
                      </m:num>
                      <m:den>
                        <m:r>
                          <a:rPr lang="es-CO" sz="1050" b="1" i="0" u="none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𝐐𝐭</m:t>
                        </m:r>
                      </m:den>
                    </m:f>
                    <m:r>
                      <a:rPr lang="es-CO" sz="1050" b="1" i="1" u="none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∗</m:t>
                    </m:r>
                    <m:r>
                      <a:rPr lang="es-CO" sz="1050" b="1" i="1" u="none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𝟏𝟎𝟎</m:t>
                    </m:r>
                  </m:oMath>
                </m:oMathPara>
              </a14:m>
              <a:endParaRPr lang="es-CO" sz="1050" b="1" i="0" u="none">
                <a:solidFill>
                  <a:sysClr val="windowText" lastClr="000000"/>
                </a:solidFill>
              </a:endParaRPr>
            </a:p>
          </xdr:txBody>
        </xdr:sp>
      </mc:Choice>
      <mc:Fallback xmlns="">
        <xdr:sp macro="" textlink="">
          <xdr:nvSpPr>
            <xdr:cNvPr id="12" name="CuadroTexto 19">
              <a:extLst>
                <a:ext uri="{FF2B5EF4-FFF2-40B4-BE49-F238E27FC236}">
                  <a16:creationId xmlns:a16="http://schemas.microsoft.com/office/drawing/2014/main" id="{756197F7-E6FE-49DD-AEE2-CFBBF99A9C66}"/>
                </a:ext>
              </a:extLst>
            </xdr:cNvPr>
            <xdr:cNvSpPr txBox="1"/>
          </xdr:nvSpPr>
          <xdr:spPr>
            <a:xfrm>
              <a:off x="959420" y="18371789"/>
              <a:ext cx="1058367" cy="3283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050" b="1" i="0" u="none">
                  <a:solidFill>
                    <a:sysClr val="windowText" lastClr="000000"/>
                  </a:solidFill>
                  <a:latin typeface="Cambria Math" panose="02040503050406030204" pitchFamily="18" charset="0"/>
                </a:rPr>
                <a:t>𝐐[%]=  𝐐𝐢/𝐐𝐭∗𝟏𝟎𝟎</a:t>
              </a:r>
              <a:endParaRPr lang="es-CO" sz="1050" b="1" i="0" u="none">
                <a:solidFill>
                  <a:sysClr val="windowText" lastClr="000000"/>
                </a:solidFill>
              </a:endParaRPr>
            </a:p>
          </xdr:txBody>
        </xdr:sp>
      </mc:Fallback>
    </mc:AlternateContent>
    <xdr:clientData/>
  </xdr:oneCellAnchor>
  <xdr:oneCellAnchor>
    <xdr:from>
      <xdr:col>12</xdr:col>
      <xdr:colOff>436291</xdr:colOff>
      <xdr:row>96</xdr:row>
      <xdr:rowOff>129757</xdr:rowOff>
    </xdr:from>
    <xdr:ext cx="907300" cy="3179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" name="CuadroTexto 20">
              <a:extLst>
                <a:ext uri="{FF2B5EF4-FFF2-40B4-BE49-F238E27FC236}">
                  <a16:creationId xmlns:a16="http://schemas.microsoft.com/office/drawing/2014/main" id="{E35B2A1D-33C4-4A4B-A9DE-2E22C5485924}"/>
                </a:ext>
              </a:extLst>
            </xdr:cNvPr>
            <xdr:cNvSpPr txBox="1"/>
          </xdr:nvSpPr>
          <xdr:spPr>
            <a:xfrm>
              <a:off x="8227741" y="18398707"/>
              <a:ext cx="907300" cy="3179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indent="0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CO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𝑽𝒎𝒆𝒅𝒊𝒂</m:t>
                    </m:r>
                    <m:r>
                      <a:rPr lang="es-CO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s-CO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es-CO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𝑸𝒕</m:t>
                        </m:r>
                      </m:num>
                      <m:den>
                        <m:r>
                          <a:rPr lang="es-CO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𝑨𝒊</m:t>
                        </m:r>
                      </m:den>
                    </m:f>
                  </m:oMath>
                </m:oMathPara>
              </a14:m>
              <a:endParaRPr lang="es-CO" sz="1100" b="1" i="1">
                <a:solidFill>
                  <a:schemeClr val="tx1"/>
                </a:solidFill>
                <a:effectLst/>
                <a:latin typeface="Cambria Math" panose="02040503050406030204" pitchFamily="18" charset="0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3" name="CuadroTexto 20">
              <a:extLst>
                <a:ext uri="{FF2B5EF4-FFF2-40B4-BE49-F238E27FC236}">
                  <a16:creationId xmlns:a16="http://schemas.microsoft.com/office/drawing/2014/main" id="{E35B2A1D-33C4-4A4B-A9DE-2E22C5485924}"/>
                </a:ext>
              </a:extLst>
            </xdr:cNvPr>
            <xdr:cNvSpPr txBox="1"/>
          </xdr:nvSpPr>
          <xdr:spPr>
            <a:xfrm>
              <a:off x="8227741" y="18398707"/>
              <a:ext cx="907300" cy="3179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indent="0"/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𝑽𝒎𝒆𝒅𝒊𝒂=𝑸𝒕/𝑨𝒊</a:t>
              </a:r>
              <a:endParaRPr lang="es-CO" sz="1100" b="1" i="1">
                <a:solidFill>
                  <a:schemeClr val="tx1"/>
                </a:solidFill>
                <a:effectLst/>
                <a:latin typeface="Cambria Math" panose="02040503050406030204" pitchFamily="18" charset="0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8</xdr:col>
      <xdr:colOff>56087</xdr:colOff>
      <xdr:row>93</xdr:row>
      <xdr:rowOff>56351</xdr:rowOff>
    </xdr:from>
    <xdr:ext cx="1322606" cy="3424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" name="CuadroTexto 21">
              <a:extLst>
                <a:ext uri="{FF2B5EF4-FFF2-40B4-BE49-F238E27FC236}">
                  <a16:creationId xmlns:a16="http://schemas.microsoft.com/office/drawing/2014/main" id="{0E94871D-9018-4FB9-936B-0E0BFD977424}"/>
                </a:ext>
              </a:extLst>
            </xdr:cNvPr>
            <xdr:cNvSpPr txBox="1"/>
          </xdr:nvSpPr>
          <xdr:spPr>
            <a:xfrm>
              <a:off x="4990037" y="17810951"/>
              <a:ext cx="1322606" cy="3424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acc>
                      <m:accPr>
                        <m:chr m:val="̅"/>
                        <m:ctrlPr>
                          <a:rPr lang="es-CO" sz="1000" b="1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sSub>
                          <m:sSubPr>
                            <m:ctrlPr>
                              <a:rPr lang="es-CO" sz="1000" b="1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CO" sz="1000" b="1" i="1">
                                <a:latin typeface="Cambria Math" panose="02040503050406030204" pitchFamily="18" charset="0"/>
                              </a:rPr>
                              <m:t>𝑽</m:t>
                            </m:r>
                          </m:e>
                          <m:sub>
                            <m:r>
                              <a:rPr lang="es-CO" sz="1000" b="1" i="1">
                                <a:latin typeface="Cambria Math" panose="02040503050406030204" pitchFamily="18" charset="0"/>
                              </a:rPr>
                              <m:t>𝒊</m:t>
                            </m:r>
                          </m:sub>
                        </m:sSub>
                      </m:e>
                    </m:acc>
                    <m:d>
                      <m:dPr>
                        <m:begChr m:val="["/>
                        <m:endChr m:val="]"/>
                        <m:ctrlPr>
                          <a:rPr lang="es-CO" sz="1000" b="1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f>
                          <m:fPr>
                            <m:ctrlPr>
                              <a:rPr lang="es-CO" sz="1000" b="1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s-CO" sz="1000" b="1" i="1">
                                <a:latin typeface="Cambria Math" panose="02040503050406030204" pitchFamily="18" charset="0"/>
                              </a:rPr>
                              <m:t>𝒇𝒕</m:t>
                            </m:r>
                          </m:num>
                          <m:den>
                            <m:r>
                              <a:rPr lang="es-CO" sz="1000" b="1" i="1">
                                <a:latin typeface="Cambria Math" panose="02040503050406030204" pitchFamily="18" charset="0"/>
                              </a:rPr>
                              <m:t>𝒔</m:t>
                            </m:r>
                          </m:den>
                        </m:f>
                      </m:e>
                    </m:d>
                    <m:r>
                      <a:rPr lang="es-CO" sz="1000" b="1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s-CO" sz="1000" b="1" i="1">
                        <a:latin typeface="Cambria Math" panose="02040503050406030204" pitchFamily="18" charset="0"/>
                      </a:rPr>
                      <m:t>𝟑</m:t>
                    </m:r>
                    <m:r>
                      <a:rPr lang="es-CO" sz="1000" b="1" i="1">
                        <a:latin typeface="Cambria Math" panose="02040503050406030204" pitchFamily="18" charset="0"/>
                      </a:rPr>
                      <m:t>,</m:t>
                    </m:r>
                    <m:r>
                      <a:rPr lang="es-CO" sz="1000" b="1" i="1">
                        <a:latin typeface="Cambria Math" panose="02040503050406030204" pitchFamily="18" charset="0"/>
                      </a:rPr>
                      <m:t>𝟐𝟖</m:t>
                    </m:r>
                    <m:r>
                      <a:rPr lang="es-CO" sz="1000" b="1" i="1">
                        <a:latin typeface="Cambria Math" panose="02040503050406030204" pitchFamily="18" charset="0"/>
                      </a:rPr>
                      <m:t>∗</m:t>
                    </m:r>
                    <m:acc>
                      <m:accPr>
                        <m:chr m:val="̅"/>
                        <m:ctrlPr>
                          <a:rPr lang="es-CO" sz="10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accPr>
                      <m:e>
                        <m:sSub>
                          <m:sSubPr>
                            <m:ctrlP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𝑽</m:t>
                            </m:r>
                          </m:e>
                          <m:sub>
                            <m: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𝒊</m:t>
                            </m:r>
                          </m:sub>
                        </m:sSub>
                      </m:e>
                    </m:acc>
                    <m:d>
                      <m:dPr>
                        <m:begChr m:val="["/>
                        <m:endChr m:val="]"/>
                        <m:ctrlPr>
                          <a:rPr lang="es-CO" sz="10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dPr>
                      <m:e>
                        <m:f>
                          <m:fPr>
                            <m:ctrlP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fPr>
                          <m:num>
                            <m: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𝒎</m:t>
                            </m:r>
                          </m:num>
                          <m:den>
                            <m: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𝒔</m:t>
                            </m:r>
                          </m:den>
                        </m:f>
                      </m:e>
                    </m:d>
                  </m:oMath>
                </m:oMathPara>
              </a14:m>
              <a:endParaRPr lang="es-CO" sz="1000" b="1" i="0"/>
            </a:p>
          </xdr:txBody>
        </xdr:sp>
      </mc:Choice>
      <mc:Fallback xmlns="">
        <xdr:sp macro="" textlink="">
          <xdr:nvSpPr>
            <xdr:cNvPr id="14" name="CuadroTexto 21">
              <a:extLst>
                <a:ext uri="{FF2B5EF4-FFF2-40B4-BE49-F238E27FC236}">
                  <a16:creationId xmlns:a16="http://schemas.microsoft.com/office/drawing/2014/main" id="{0E94871D-9018-4FB9-936B-0E0BFD977424}"/>
                </a:ext>
              </a:extLst>
            </xdr:cNvPr>
            <xdr:cNvSpPr txBox="1"/>
          </xdr:nvSpPr>
          <xdr:spPr>
            <a:xfrm>
              <a:off x="4990037" y="17810951"/>
              <a:ext cx="1322606" cy="3424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000" b="1" i="0">
                  <a:latin typeface="Cambria Math" panose="02040503050406030204" pitchFamily="18" charset="0"/>
                </a:rPr>
                <a:t>(𝑽_𝒊 ) ̅[𝒇𝒕/𝒔]=𝟑,𝟐𝟖∗</a:t>
              </a:r>
              <a:r>
                <a:rPr lang="es-CO" sz="10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(𝑽_𝒊 ) ̅[𝒎/𝒔]</a:t>
              </a:r>
              <a:endParaRPr lang="es-CO" sz="1000" b="1" i="0"/>
            </a:p>
          </xdr:txBody>
        </xdr:sp>
      </mc:Fallback>
    </mc:AlternateContent>
    <xdr:clientData/>
  </xdr:oneCellAnchor>
  <xdr:oneCellAnchor>
    <xdr:from>
      <xdr:col>2</xdr:col>
      <xdr:colOff>96182</xdr:colOff>
      <xdr:row>93</xdr:row>
      <xdr:rowOff>41166</xdr:rowOff>
    </xdr:from>
    <xdr:ext cx="1500411" cy="3429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" name="CuadroTexto 23">
              <a:extLst>
                <a:ext uri="{FF2B5EF4-FFF2-40B4-BE49-F238E27FC236}">
                  <a16:creationId xmlns:a16="http://schemas.microsoft.com/office/drawing/2014/main" id="{DF4E5537-3FC9-4C1C-AAD2-18E7D998A2C4}"/>
                </a:ext>
              </a:extLst>
            </xdr:cNvPr>
            <xdr:cNvSpPr txBox="1"/>
          </xdr:nvSpPr>
          <xdr:spPr>
            <a:xfrm>
              <a:off x="743882" y="17795766"/>
              <a:ext cx="1500411" cy="3429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d>
                      <m:dPr>
                        <m:begChr m:val="["/>
                        <m:endChr m:val="]"/>
                        <m:ctrlP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s-CO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𝐑𝐩𝐦</m:t>
                        </m:r>
                      </m:e>
                    </m:d>
                    <m:r>
                      <a:rPr lang="es-CO" sz="1050" b="1" i="1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d>
                          <m:dPr>
                            <m:begChr m:val="["/>
                            <m:endChr m:val="]"/>
                            <m:ctrlPr>
                              <a:rPr lang="es-CO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s-CO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  <m:t>𝑹𝒆𝒗</m:t>
                            </m:r>
                          </m:e>
                        </m:d>
                      </m:num>
                      <m:den>
                        <m:r>
                          <a:rPr lang="es-CO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𝐭𝐜</m:t>
                        </m:r>
                        <m:d>
                          <m:dPr>
                            <m:begChr m:val="["/>
                            <m:endChr m:val="]"/>
                            <m:ctrlPr>
                              <a:rPr lang="es-CO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s-CO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  <m:t>𝒔</m:t>
                            </m:r>
                          </m:e>
                        </m:d>
                      </m:den>
                    </m:f>
                    <m:r>
                      <a:rPr lang="es-CO" sz="1050" b="1" i="1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∗</m:t>
                    </m:r>
                    <m:f>
                      <m:fPr>
                        <m:ctrlP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𝟔𝟎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 [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𝒔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]</m:t>
                        </m:r>
                      </m:num>
                      <m:den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𝟏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[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𝒎𝒊𝒏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]</m:t>
                        </m:r>
                      </m:den>
                    </m:f>
                  </m:oMath>
                </m:oMathPara>
              </a14:m>
              <a:endParaRPr lang="es-CO" sz="1050" b="1" i="0">
                <a:solidFill>
                  <a:sysClr val="windowText" lastClr="000000"/>
                </a:solidFill>
              </a:endParaRPr>
            </a:p>
          </xdr:txBody>
        </xdr:sp>
      </mc:Choice>
      <mc:Fallback xmlns="">
        <xdr:sp macro="" textlink="">
          <xdr:nvSpPr>
            <xdr:cNvPr id="15" name="CuadroTexto 23">
              <a:extLst>
                <a:ext uri="{FF2B5EF4-FFF2-40B4-BE49-F238E27FC236}">
                  <a16:creationId xmlns:a16="http://schemas.microsoft.com/office/drawing/2014/main" id="{DF4E5537-3FC9-4C1C-AAD2-18E7D998A2C4}"/>
                </a:ext>
              </a:extLst>
            </xdr:cNvPr>
            <xdr:cNvSpPr txBox="1"/>
          </xdr:nvSpPr>
          <xdr:spPr>
            <a:xfrm>
              <a:off x="743882" y="17795766"/>
              <a:ext cx="1500411" cy="3429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</a:rPr>
                <a:t>[𝐑𝐩𝐦]=[𝑹𝒆𝒗]/𝐭𝐜[𝒔] ∗(𝟔𝟎 [𝒔])/(𝟏[𝒎𝒊𝒏])</a:t>
              </a:r>
              <a:endParaRPr lang="es-CO" sz="1050" b="1" i="0">
                <a:solidFill>
                  <a:sysClr val="windowText" lastClr="000000"/>
                </a:solidFill>
              </a:endParaRPr>
            </a:p>
          </xdr:txBody>
        </xdr:sp>
      </mc:Fallback>
    </mc:AlternateContent>
    <xdr:clientData/>
  </xdr:oneCellAnchor>
  <xdr:oneCellAnchor>
    <xdr:from>
      <xdr:col>10</xdr:col>
      <xdr:colOff>553512</xdr:colOff>
      <xdr:row>93</xdr:row>
      <xdr:rowOff>135078</xdr:rowOff>
    </xdr:from>
    <xdr:ext cx="3601499" cy="34637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" name="21 CuadroTexto">
              <a:extLst>
                <a:ext uri="{FF2B5EF4-FFF2-40B4-BE49-F238E27FC236}">
                  <a16:creationId xmlns:a16="http://schemas.microsoft.com/office/drawing/2014/main" id="{47CA8606-176C-4751-B053-DDBCF697BD59}"/>
                </a:ext>
              </a:extLst>
            </xdr:cNvPr>
            <xdr:cNvSpPr txBox="1"/>
          </xdr:nvSpPr>
          <xdr:spPr>
            <a:xfrm>
              <a:off x="6916212" y="17889678"/>
              <a:ext cx="3601499" cy="34637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 xmlns:m="http://schemas.openxmlformats.org/officeDocument/2006/math">
                  <m:acc>
                    <m:accPr>
                      <m:chr m:val="̅"/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accPr>
                    <m:e>
                      <m:sSub>
                        <m:sSubPr>
                          <m:ctrlPr>
                            <a:rPr lang="es-CO" sz="1100" b="1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sSubPr>
                        <m:e>
                          <m:r>
                            <a:rPr lang="es-CO" sz="1100" b="1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𝑽</m:t>
                          </m:r>
                        </m:e>
                        <m:sub>
                          <m:r>
                            <a:rPr lang="es-CO" sz="1100" b="1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𝒊</m:t>
                          </m:r>
                        </m:sub>
                      </m:sSub>
                    </m:e>
                  </m:acc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=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𝟎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.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𝟏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∗(</m:t>
                  </m:r>
                  <m:sSub>
                    <m:sSubPr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𝑽</m:t>
                      </m:r>
                    </m:e>
                    <m:sub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𝒔𝒖𝒑𝒇</m:t>
                      </m:r>
                    </m:sub>
                  </m:sSub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+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𝟑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∗</m:t>
                  </m:r>
                  <m:sSub>
                    <m:sSubPr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𝑽</m:t>
                      </m:r>
                    </m:e>
                    <m:sub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𝟎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.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𝟐</m:t>
                      </m:r>
                    </m:sub>
                  </m:sSub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+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𝟑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∗</m:t>
                  </m:r>
                  <m:sSub>
                    <m:sSubPr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𝑽</m:t>
                      </m:r>
                    </m:e>
                    <m:sub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𝟎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.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𝟔</m:t>
                      </m:r>
                    </m:sub>
                  </m:sSub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+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𝟐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∗</m:t>
                  </m:r>
                  <m:sSub>
                    <m:sSubPr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𝑽</m:t>
                      </m:r>
                    </m:e>
                    <m:sub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𝟎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.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𝟖</m:t>
                      </m:r>
                    </m:sub>
                  </m:sSub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+</m:t>
                  </m:r>
                  <m:sSub>
                    <m:sSubPr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𝑽</m:t>
                      </m:r>
                    </m:e>
                    <m:sub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𝒍𝒆𝒄𝒉𝒐</m:t>
                      </m:r>
                    </m:sub>
                  </m:sSub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)</m:t>
                  </m:r>
                </m:oMath>
              </a14:m>
              <a:r>
                <a:rPr lang="es-CO" sz="1100" b="1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 </a:t>
              </a:r>
            </a:p>
            <a:p>
              <a:pPr marL="0" indent="0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ES" sz="1050" b="1" i="0">
                        <a:solidFill>
                          <a:schemeClr val="tx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</m:oMath>
                </m:oMathPara>
              </a14:m>
              <a:endParaRPr lang="es-ES" sz="1050" b="1" i="0">
                <a:solidFill>
                  <a:schemeClr val="tx1"/>
                </a:solidFill>
                <a:latin typeface="Cambria Math" panose="02040503050406030204" pitchFamily="18" charset="0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6" name="21 CuadroTexto">
              <a:extLst>
                <a:ext uri="{FF2B5EF4-FFF2-40B4-BE49-F238E27FC236}">
                  <a16:creationId xmlns:a16="http://schemas.microsoft.com/office/drawing/2014/main" id="{47CA8606-176C-4751-B053-DDBCF697BD59}"/>
                </a:ext>
              </a:extLst>
            </xdr:cNvPr>
            <xdr:cNvSpPr txBox="1"/>
          </xdr:nvSpPr>
          <xdr:spPr>
            <a:xfrm>
              <a:off x="6916212" y="17889678"/>
              <a:ext cx="3601499" cy="34637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(𝑽_𝒊 ) ̅=𝟎.𝟏∗(𝑽_𝒔𝒖𝒑𝒇+𝟑∗𝑽_(𝟎.𝟐)+𝟑∗𝑽_(𝟎.𝟔)+𝟐∗𝑽_(𝟎.𝟖)+𝑽_𝒍𝒆𝒄𝒉𝒐)</a:t>
              </a:r>
              <a:r>
                <a:rPr lang="es-CO" sz="1100" b="1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 </a:t>
              </a:r>
            </a:p>
            <a:p>
              <a:pPr marL="0" indent="0"/>
              <a:r>
                <a:rPr lang="es-ES" sz="1050" b="1" i="0">
                  <a:solidFill>
                    <a:schemeClr val="tx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 </a:t>
              </a:r>
            </a:p>
          </xdr:txBody>
        </xdr:sp>
      </mc:Fallback>
    </mc:AlternateContent>
    <xdr:clientData/>
  </xdr:oneCellAnchor>
  <xdr:twoCellAnchor editAs="oneCell">
    <xdr:from>
      <xdr:col>1</xdr:col>
      <xdr:colOff>259553</xdr:colOff>
      <xdr:row>1</xdr:row>
      <xdr:rowOff>26968</xdr:rowOff>
    </xdr:from>
    <xdr:to>
      <xdr:col>3</xdr:col>
      <xdr:colOff>402428</xdr:colOff>
      <xdr:row>2</xdr:row>
      <xdr:rowOff>302076</xdr:rowOff>
    </xdr:to>
    <xdr:pic>
      <xdr:nvPicPr>
        <xdr:cNvPr id="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69078" y="84118"/>
          <a:ext cx="1495425" cy="627533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</xdr:pic>
    <xdr:clientData/>
  </xdr:twoCellAnchor>
  <xdr:twoCellAnchor editAs="oneCell">
    <xdr:from>
      <xdr:col>14</xdr:col>
      <xdr:colOff>394642</xdr:colOff>
      <xdr:row>1</xdr:row>
      <xdr:rowOff>38100</xdr:rowOff>
    </xdr:from>
    <xdr:to>
      <xdr:col>15</xdr:col>
      <xdr:colOff>350544</xdr:colOff>
      <xdr:row>2</xdr:row>
      <xdr:rowOff>276225</xdr:rowOff>
    </xdr:to>
    <xdr:pic>
      <xdr:nvPicPr>
        <xdr:cNvPr id="18" name="Picture 9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9614842" y="95250"/>
          <a:ext cx="670277" cy="59055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41"/>
  <sheetViews>
    <sheetView workbookViewId="0">
      <selection activeCell="A23" sqref="A23"/>
    </sheetView>
  </sheetViews>
  <sheetFormatPr baseColWidth="10" defaultRowHeight="15" x14ac:dyDescent="0.25"/>
  <cols>
    <col min="2" max="2" width="1.28515625" customWidth="1"/>
    <col min="10" max="10" width="1.28515625" customWidth="1"/>
  </cols>
  <sheetData>
    <row r="2" spans="2:10" x14ac:dyDescent="0.25">
      <c r="B2" s="100" t="s">
        <v>40</v>
      </c>
      <c r="C2" s="100"/>
      <c r="D2" s="100"/>
      <c r="E2" s="100"/>
      <c r="F2" s="100"/>
      <c r="G2" s="100"/>
      <c r="H2" s="100"/>
      <c r="I2" s="100"/>
      <c r="J2" s="100"/>
    </row>
    <row r="3" spans="2:10" ht="6.75" customHeight="1" x14ac:dyDescent="0.25">
      <c r="B3" s="101"/>
      <c r="C3" s="102"/>
      <c r="D3" s="102"/>
      <c r="E3" s="102"/>
      <c r="F3" s="102"/>
      <c r="G3" s="102"/>
      <c r="H3" s="102"/>
      <c r="I3" s="102"/>
      <c r="J3" s="103"/>
    </row>
    <row r="4" spans="2:10" x14ac:dyDescent="0.25">
      <c r="B4" s="104"/>
      <c r="C4" s="106"/>
      <c r="D4" s="106"/>
      <c r="E4" s="106"/>
      <c r="F4" s="106"/>
      <c r="G4" s="106"/>
      <c r="H4" s="106"/>
      <c r="I4" s="106"/>
      <c r="J4" s="107"/>
    </row>
    <row r="5" spans="2:10" x14ac:dyDescent="0.25">
      <c r="B5" s="104"/>
      <c r="C5" s="106"/>
      <c r="D5" s="106"/>
      <c r="E5" s="106"/>
      <c r="F5" s="106"/>
      <c r="G5" s="106"/>
      <c r="H5" s="106"/>
      <c r="I5" s="106"/>
      <c r="J5" s="107"/>
    </row>
    <row r="6" spans="2:10" x14ac:dyDescent="0.25">
      <c r="B6" s="104"/>
      <c r="C6" s="106"/>
      <c r="D6" s="106"/>
      <c r="E6" s="106"/>
      <c r="F6" s="106"/>
      <c r="G6" s="106"/>
      <c r="H6" s="106"/>
      <c r="I6" s="106"/>
      <c r="J6" s="107"/>
    </row>
    <row r="7" spans="2:10" x14ac:dyDescent="0.25">
      <c r="B7" s="104"/>
      <c r="C7" s="106"/>
      <c r="D7" s="106"/>
      <c r="E7" s="106"/>
      <c r="F7" s="106"/>
      <c r="G7" s="106"/>
      <c r="H7" s="106"/>
      <c r="I7" s="106"/>
      <c r="J7" s="107"/>
    </row>
    <row r="8" spans="2:10" x14ac:dyDescent="0.25">
      <c r="B8" s="104"/>
      <c r="C8" s="106"/>
      <c r="D8" s="106"/>
      <c r="E8" s="106"/>
      <c r="F8" s="106"/>
      <c r="G8" s="106"/>
      <c r="H8" s="106"/>
      <c r="I8" s="106"/>
      <c r="J8" s="107"/>
    </row>
    <row r="9" spans="2:10" x14ac:dyDescent="0.25">
      <c r="B9" s="104"/>
      <c r="C9" s="106"/>
      <c r="D9" s="106"/>
      <c r="E9" s="106"/>
      <c r="F9" s="106"/>
      <c r="G9" s="106"/>
      <c r="H9" s="106"/>
      <c r="I9" s="106"/>
      <c r="J9" s="107"/>
    </row>
    <row r="10" spans="2:10" x14ac:dyDescent="0.25">
      <c r="B10" s="104"/>
      <c r="C10" s="106"/>
      <c r="D10" s="106"/>
      <c r="E10" s="106"/>
      <c r="F10" s="106"/>
      <c r="G10" s="106"/>
      <c r="H10" s="106"/>
      <c r="I10" s="106"/>
      <c r="J10" s="107"/>
    </row>
    <row r="11" spans="2:10" x14ac:dyDescent="0.25">
      <c r="B11" s="104"/>
      <c r="C11" s="106"/>
      <c r="D11" s="106"/>
      <c r="E11" s="106"/>
      <c r="F11" s="106"/>
      <c r="G11" s="106"/>
      <c r="H11" s="106"/>
      <c r="I11" s="106"/>
      <c r="J11" s="107"/>
    </row>
    <row r="12" spans="2:10" x14ac:dyDescent="0.25">
      <c r="B12" s="104"/>
      <c r="C12" s="106"/>
      <c r="D12" s="106"/>
      <c r="E12" s="106"/>
      <c r="F12" s="106"/>
      <c r="G12" s="106"/>
      <c r="H12" s="106"/>
      <c r="I12" s="106"/>
      <c r="J12" s="107"/>
    </row>
    <row r="13" spans="2:10" x14ac:dyDescent="0.25">
      <c r="B13" s="104"/>
      <c r="C13" s="106"/>
      <c r="D13" s="106"/>
      <c r="E13" s="106"/>
      <c r="F13" s="106"/>
      <c r="G13" s="106"/>
      <c r="H13" s="106"/>
      <c r="I13" s="106"/>
      <c r="J13" s="107"/>
    </row>
    <row r="14" spans="2:10" x14ac:dyDescent="0.25">
      <c r="B14" s="104"/>
      <c r="C14" s="106"/>
      <c r="D14" s="106"/>
      <c r="E14" s="106"/>
      <c r="F14" s="106"/>
      <c r="G14" s="106"/>
      <c r="H14" s="106"/>
      <c r="I14" s="106"/>
      <c r="J14" s="107"/>
    </row>
    <row r="15" spans="2:10" x14ac:dyDescent="0.25">
      <c r="B15" s="104"/>
      <c r="C15" s="106"/>
      <c r="D15" s="106"/>
      <c r="E15" s="106"/>
      <c r="F15" s="106"/>
      <c r="G15" s="106"/>
      <c r="H15" s="106"/>
      <c r="I15" s="106"/>
      <c r="J15" s="107"/>
    </row>
    <row r="16" spans="2:10" x14ac:dyDescent="0.25">
      <c r="B16" s="104"/>
      <c r="C16" s="106"/>
      <c r="D16" s="106"/>
      <c r="E16" s="106"/>
      <c r="F16" s="106"/>
      <c r="G16" s="106"/>
      <c r="H16" s="106"/>
      <c r="I16" s="106"/>
      <c r="J16" s="107"/>
    </row>
    <row r="17" spans="2:10" x14ac:dyDescent="0.25">
      <c r="B17" s="104"/>
      <c r="C17" s="106"/>
      <c r="D17" s="106"/>
      <c r="E17" s="106"/>
      <c r="F17" s="106"/>
      <c r="G17" s="106"/>
      <c r="H17" s="106"/>
      <c r="I17" s="106"/>
      <c r="J17" s="107"/>
    </row>
    <row r="18" spans="2:10" x14ac:dyDescent="0.25">
      <c r="B18" s="104"/>
      <c r="C18" s="106"/>
      <c r="D18" s="106"/>
      <c r="E18" s="106"/>
      <c r="F18" s="106"/>
      <c r="G18" s="106"/>
      <c r="H18" s="106"/>
      <c r="I18" s="106"/>
      <c r="J18" s="107"/>
    </row>
    <row r="19" spans="2:10" x14ac:dyDescent="0.25">
      <c r="B19" s="104"/>
      <c r="C19" s="106"/>
      <c r="D19" s="106"/>
      <c r="E19" s="106"/>
      <c r="F19" s="106"/>
      <c r="G19" s="106"/>
      <c r="H19" s="106"/>
      <c r="I19" s="106"/>
      <c r="J19" s="107"/>
    </row>
    <row r="20" spans="2:10" x14ac:dyDescent="0.25">
      <c r="B20" s="104"/>
      <c r="C20" s="106"/>
      <c r="D20" s="106"/>
      <c r="E20" s="106"/>
      <c r="F20" s="106"/>
      <c r="G20" s="106"/>
      <c r="H20" s="106"/>
      <c r="I20" s="106"/>
      <c r="J20" s="107"/>
    </row>
    <row r="21" spans="2:10" x14ac:dyDescent="0.25">
      <c r="B21" s="104"/>
      <c r="C21" s="106"/>
      <c r="D21" s="106"/>
      <c r="E21" s="106"/>
      <c r="F21" s="106"/>
      <c r="G21" s="106"/>
      <c r="H21" s="106"/>
      <c r="I21" s="106"/>
      <c r="J21" s="107"/>
    </row>
    <row r="22" spans="2:10" x14ac:dyDescent="0.25">
      <c r="B22" s="104"/>
      <c r="C22" s="106"/>
      <c r="D22" s="106"/>
      <c r="E22" s="106"/>
      <c r="F22" s="106"/>
      <c r="G22" s="106"/>
      <c r="H22" s="106"/>
      <c r="I22" s="106"/>
      <c r="J22" s="107"/>
    </row>
    <row r="23" spans="2:10" x14ac:dyDescent="0.25">
      <c r="B23" s="104"/>
      <c r="C23" s="106"/>
      <c r="D23" s="106"/>
      <c r="E23" s="106"/>
      <c r="F23" s="106"/>
      <c r="G23" s="106"/>
      <c r="H23" s="106"/>
      <c r="I23" s="106"/>
      <c r="J23" s="107"/>
    </row>
    <row r="24" spans="2:10" ht="6.75" customHeight="1" x14ac:dyDescent="0.25">
      <c r="B24" s="105"/>
      <c r="C24" s="109"/>
      <c r="D24" s="109"/>
      <c r="E24" s="109"/>
      <c r="F24" s="109"/>
      <c r="G24" s="109"/>
      <c r="H24" s="109"/>
      <c r="I24" s="109"/>
      <c r="J24" s="108"/>
    </row>
    <row r="25" spans="2:10" x14ac:dyDescent="0.25">
      <c r="B25" s="1"/>
      <c r="C25" s="1"/>
      <c r="D25" s="1"/>
      <c r="E25" s="1"/>
      <c r="F25" s="1"/>
      <c r="G25" s="1"/>
      <c r="H25" s="1"/>
      <c r="I25" s="1"/>
    </row>
    <row r="26" spans="2:10" x14ac:dyDescent="0.25">
      <c r="B26" s="100" t="s">
        <v>41</v>
      </c>
      <c r="C26" s="100"/>
      <c r="D26" s="100"/>
      <c r="E26" s="100"/>
      <c r="F26" s="100"/>
      <c r="G26" s="100"/>
      <c r="H26" s="100"/>
      <c r="I26" s="100"/>
      <c r="J26" s="100"/>
    </row>
    <row r="27" spans="2:10" ht="6.75" customHeight="1" x14ac:dyDescent="0.25">
      <c r="B27" s="101"/>
      <c r="C27" s="102"/>
      <c r="D27" s="102"/>
      <c r="E27" s="102"/>
      <c r="F27" s="102"/>
      <c r="G27" s="102"/>
      <c r="H27" s="102"/>
      <c r="I27" s="102"/>
      <c r="J27" s="103"/>
    </row>
    <row r="28" spans="2:10" x14ac:dyDescent="0.25">
      <c r="B28" s="104"/>
      <c r="C28" s="106"/>
      <c r="D28" s="106"/>
      <c r="E28" s="106"/>
      <c r="F28" s="106"/>
      <c r="G28" s="106"/>
      <c r="H28" s="106"/>
      <c r="I28" s="106"/>
      <c r="J28" s="107"/>
    </row>
    <row r="29" spans="2:10" x14ac:dyDescent="0.25">
      <c r="B29" s="104"/>
      <c r="C29" s="106"/>
      <c r="D29" s="106"/>
      <c r="E29" s="106"/>
      <c r="F29" s="106"/>
      <c r="G29" s="106"/>
      <c r="H29" s="106"/>
      <c r="I29" s="106"/>
      <c r="J29" s="107"/>
    </row>
    <row r="30" spans="2:10" x14ac:dyDescent="0.25">
      <c r="B30" s="104"/>
      <c r="C30" s="106"/>
      <c r="D30" s="106"/>
      <c r="E30" s="106"/>
      <c r="F30" s="106"/>
      <c r="G30" s="106"/>
      <c r="H30" s="106"/>
      <c r="I30" s="106"/>
      <c r="J30" s="107"/>
    </row>
    <row r="31" spans="2:10" x14ac:dyDescent="0.25">
      <c r="B31" s="104"/>
      <c r="C31" s="106"/>
      <c r="D31" s="106"/>
      <c r="E31" s="106"/>
      <c r="F31" s="106"/>
      <c r="G31" s="106"/>
      <c r="H31" s="106"/>
      <c r="I31" s="106"/>
      <c r="J31" s="107"/>
    </row>
    <row r="32" spans="2:10" x14ac:dyDescent="0.25">
      <c r="B32" s="104"/>
      <c r="C32" s="106"/>
      <c r="D32" s="106"/>
      <c r="E32" s="106"/>
      <c r="F32" s="106"/>
      <c r="G32" s="106"/>
      <c r="H32" s="106"/>
      <c r="I32" s="106"/>
      <c r="J32" s="107"/>
    </row>
    <row r="33" spans="2:10" x14ac:dyDescent="0.25">
      <c r="B33" s="104"/>
      <c r="C33" s="106"/>
      <c r="D33" s="106"/>
      <c r="E33" s="106"/>
      <c r="F33" s="106"/>
      <c r="G33" s="106"/>
      <c r="H33" s="106"/>
      <c r="I33" s="106"/>
      <c r="J33" s="107"/>
    </row>
    <row r="34" spans="2:10" x14ac:dyDescent="0.25">
      <c r="B34" s="104"/>
      <c r="C34" s="106"/>
      <c r="D34" s="106"/>
      <c r="E34" s="106"/>
      <c r="F34" s="106"/>
      <c r="G34" s="106"/>
      <c r="H34" s="106"/>
      <c r="I34" s="106"/>
      <c r="J34" s="107"/>
    </row>
    <row r="35" spans="2:10" x14ac:dyDescent="0.25">
      <c r="B35" s="104"/>
      <c r="C35" s="106"/>
      <c r="D35" s="106"/>
      <c r="E35" s="106"/>
      <c r="F35" s="106"/>
      <c r="G35" s="106"/>
      <c r="H35" s="106"/>
      <c r="I35" s="106"/>
      <c r="J35" s="107"/>
    </row>
    <row r="36" spans="2:10" x14ac:dyDescent="0.25">
      <c r="B36" s="104"/>
      <c r="C36" s="106"/>
      <c r="D36" s="106"/>
      <c r="E36" s="106"/>
      <c r="F36" s="106"/>
      <c r="G36" s="106"/>
      <c r="H36" s="106"/>
      <c r="I36" s="106"/>
      <c r="J36" s="107"/>
    </row>
    <row r="37" spans="2:10" x14ac:dyDescent="0.25">
      <c r="B37" s="104"/>
      <c r="C37" s="106"/>
      <c r="D37" s="106"/>
      <c r="E37" s="106"/>
      <c r="F37" s="106"/>
      <c r="G37" s="106"/>
      <c r="H37" s="106"/>
      <c r="I37" s="106"/>
      <c r="J37" s="107"/>
    </row>
    <row r="38" spans="2:10" x14ac:dyDescent="0.25">
      <c r="B38" s="104"/>
      <c r="C38" s="106"/>
      <c r="D38" s="106"/>
      <c r="E38" s="106"/>
      <c r="F38" s="106"/>
      <c r="G38" s="106"/>
      <c r="H38" s="106"/>
      <c r="I38" s="106"/>
      <c r="J38" s="107"/>
    </row>
    <row r="39" spans="2:10" x14ac:dyDescent="0.25">
      <c r="B39" s="104"/>
      <c r="C39" s="106"/>
      <c r="D39" s="106"/>
      <c r="E39" s="106"/>
      <c r="F39" s="106"/>
      <c r="G39" s="106"/>
      <c r="H39" s="106"/>
      <c r="I39" s="106"/>
      <c r="J39" s="107"/>
    </row>
    <row r="40" spans="2:10" x14ac:dyDescent="0.25">
      <c r="B40" s="104"/>
      <c r="C40" s="106"/>
      <c r="D40" s="106"/>
      <c r="E40" s="106"/>
      <c r="F40" s="106"/>
      <c r="G40" s="106"/>
      <c r="H40" s="106"/>
      <c r="I40" s="106"/>
      <c r="J40" s="107"/>
    </row>
    <row r="41" spans="2:10" ht="6.75" customHeight="1" x14ac:dyDescent="0.25">
      <c r="B41" s="105"/>
      <c r="C41" s="109"/>
      <c r="D41" s="109"/>
      <c r="E41" s="109"/>
      <c r="F41" s="109"/>
      <c r="G41" s="109"/>
      <c r="H41" s="109"/>
      <c r="I41" s="109"/>
      <c r="J41" s="108"/>
    </row>
  </sheetData>
  <mergeCells count="12">
    <mergeCell ref="B2:J2"/>
    <mergeCell ref="C4:I23"/>
    <mergeCell ref="B3:J3"/>
    <mergeCell ref="B4:B24"/>
    <mergeCell ref="J4:J24"/>
    <mergeCell ref="C24:I24"/>
    <mergeCell ref="B26:J26"/>
    <mergeCell ref="B27:J27"/>
    <mergeCell ref="B28:B41"/>
    <mergeCell ref="C28:I40"/>
    <mergeCell ref="J28:J41"/>
    <mergeCell ref="C41:I4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138"/>
  <sheetViews>
    <sheetView tabSelected="1" view="pageBreakPreview" zoomScale="80" zoomScaleSheetLayoutView="80" zoomScalePageLayoutView="110" workbookViewId="0">
      <selection activeCell="A5" sqref="A5"/>
    </sheetView>
  </sheetViews>
  <sheetFormatPr baseColWidth="10" defaultColWidth="11.42578125" defaultRowHeight="15" x14ac:dyDescent="0.25"/>
  <cols>
    <col min="1" max="1" width="0.140625" customWidth="1"/>
    <col min="2" max="2" width="9.5703125" customWidth="1"/>
    <col min="3" max="16" width="10.7109375" customWidth="1"/>
  </cols>
  <sheetData>
    <row r="1" spans="1:26" ht="4.9000000000000004" customHeight="1" thickBot="1" x14ac:dyDescent="0.3">
      <c r="J1" s="17"/>
    </row>
    <row r="2" spans="1:26" s="2" customFormat="1" ht="30" customHeight="1" x14ac:dyDescent="0.25">
      <c r="A2" s="315"/>
      <c r="B2" s="316"/>
      <c r="C2" s="317"/>
      <c r="D2" s="318"/>
      <c r="E2" s="319" t="s">
        <v>123</v>
      </c>
      <c r="F2" s="320"/>
      <c r="G2" s="320"/>
      <c r="H2" s="320"/>
      <c r="I2" s="320"/>
      <c r="J2" s="320"/>
      <c r="K2" s="320"/>
      <c r="L2" s="320"/>
      <c r="M2" s="320"/>
      <c r="N2" s="320"/>
      <c r="O2" s="321"/>
      <c r="P2" s="322"/>
    </row>
    <row r="3" spans="1:26" s="2" customFormat="1" ht="24" customHeight="1" thickBot="1" x14ac:dyDescent="0.3">
      <c r="A3" s="315"/>
      <c r="B3" s="323"/>
      <c r="C3" s="324"/>
      <c r="D3" s="325"/>
      <c r="E3" s="326"/>
      <c r="F3" s="327"/>
      <c r="G3" s="327"/>
      <c r="H3" s="327"/>
      <c r="I3" s="327"/>
      <c r="J3" s="327"/>
      <c r="K3" s="327"/>
      <c r="L3" s="327"/>
      <c r="M3" s="327"/>
      <c r="N3" s="327"/>
      <c r="O3" s="328"/>
      <c r="P3" s="329"/>
    </row>
    <row r="4" spans="1:26" s="19" customFormat="1" ht="11.25" customHeight="1" thickBot="1" x14ac:dyDescent="0.3">
      <c r="A4" s="18"/>
      <c r="B4" s="296"/>
      <c r="C4" s="225"/>
      <c r="D4" s="225"/>
      <c r="E4" s="225"/>
      <c r="F4" s="225"/>
      <c r="G4" s="225"/>
      <c r="H4" s="225"/>
      <c r="I4" s="225"/>
      <c r="J4" s="225"/>
      <c r="K4" s="225"/>
      <c r="L4" s="225"/>
      <c r="M4" s="225"/>
      <c r="N4" s="225"/>
      <c r="O4" s="225"/>
      <c r="P4" s="225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s="26" customFormat="1" ht="31.5" customHeight="1" thickBot="1" x14ac:dyDescent="0.3">
      <c r="A5" s="20"/>
      <c r="B5" s="21" t="s">
        <v>0</v>
      </c>
      <c r="C5" s="297">
        <v>43060</v>
      </c>
      <c r="D5" s="298"/>
      <c r="E5" s="22" t="s">
        <v>1</v>
      </c>
      <c r="F5" s="23">
        <v>1</v>
      </c>
      <c r="G5" s="24" t="s">
        <v>2</v>
      </c>
      <c r="H5" s="299" t="s">
        <v>124</v>
      </c>
      <c r="I5" s="300"/>
      <c r="J5" s="300"/>
      <c r="K5" s="300"/>
      <c r="L5" s="300"/>
      <c r="M5" s="300"/>
      <c r="N5" s="300"/>
      <c r="O5" s="300"/>
      <c r="P5" s="301"/>
      <c r="Q5" s="25"/>
      <c r="R5" s="25"/>
      <c r="S5" s="25"/>
      <c r="T5" s="25"/>
      <c r="U5" s="25"/>
      <c r="V5" s="25"/>
      <c r="W5" s="25"/>
      <c r="X5" s="25"/>
      <c r="Y5" s="25"/>
      <c r="Z5" s="25"/>
    </row>
    <row r="6" spans="1:26" s="31" customFormat="1" ht="21.75" customHeight="1" thickBot="1" x14ac:dyDescent="0.3">
      <c r="A6" s="27"/>
      <c r="B6" s="280" t="s">
        <v>3</v>
      </c>
      <c r="C6" s="281"/>
      <c r="D6" s="282" t="s">
        <v>109</v>
      </c>
      <c r="E6" s="283"/>
      <c r="F6" s="283"/>
      <c r="G6" s="283"/>
      <c r="H6" s="283"/>
      <c r="I6" s="284"/>
      <c r="J6" s="28" t="s">
        <v>4</v>
      </c>
      <c r="K6" s="285" t="s">
        <v>110</v>
      </c>
      <c r="L6" s="284"/>
      <c r="M6" s="285" t="s">
        <v>111</v>
      </c>
      <c r="N6" s="286"/>
      <c r="O6" s="29" t="s">
        <v>55</v>
      </c>
      <c r="P6" s="30">
        <v>1788</v>
      </c>
    </row>
    <row r="7" spans="1:26" s="26" customFormat="1" ht="21.75" customHeight="1" x14ac:dyDescent="0.25">
      <c r="B7" s="287" t="s">
        <v>56</v>
      </c>
      <c r="C7" s="288" t="s">
        <v>57</v>
      </c>
      <c r="D7" s="258"/>
      <c r="E7" s="32"/>
      <c r="F7" s="289" t="s">
        <v>58</v>
      </c>
      <c r="G7" s="290"/>
      <c r="H7" s="290"/>
      <c r="I7" s="290"/>
      <c r="J7" s="291" t="s">
        <v>59</v>
      </c>
      <c r="K7" s="292"/>
      <c r="L7" s="292"/>
      <c r="M7" s="293"/>
      <c r="N7" s="294" t="s">
        <v>95</v>
      </c>
      <c r="O7" s="295"/>
      <c r="P7" s="33" t="s">
        <v>60</v>
      </c>
    </row>
    <row r="8" spans="1:26" s="26" customFormat="1" ht="21.75" customHeight="1" thickBot="1" x14ac:dyDescent="0.3">
      <c r="B8" s="232"/>
      <c r="C8" s="249" t="s">
        <v>61</v>
      </c>
      <c r="D8" s="248"/>
      <c r="E8" s="34" t="s">
        <v>5</v>
      </c>
      <c r="F8" s="259" t="s">
        <v>6</v>
      </c>
      <c r="G8" s="260"/>
      <c r="H8" s="260"/>
      <c r="I8" s="260"/>
      <c r="J8" s="261"/>
      <c r="K8" s="262"/>
      <c r="L8" s="262"/>
      <c r="M8" s="263"/>
      <c r="N8" s="264"/>
      <c r="O8" s="265"/>
      <c r="P8" s="35"/>
    </row>
    <row r="9" spans="1:26" s="26" customFormat="1" ht="21.75" customHeight="1" x14ac:dyDescent="0.25">
      <c r="B9" s="266" t="s">
        <v>7</v>
      </c>
      <c r="C9" s="269" t="s">
        <v>62</v>
      </c>
      <c r="D9" s="270" t="s">
        <v>63</v>
      </c>
      <c r="E9" s="255"/>
      <c r="F9" s="36"/>
      <c r="G9" s="271" t="s">
        <v>8</v>
      </c>
      <c r="H9" s="272" t="s">
        <v>9</v>
      </c>
      <c r="I9" s="258"/>
      <c r="J9" s="37"/>
      <c r="K9" s="269" t="s">
        <v>64</v>
      </c>
      <c r="L9" s="273" t="s">
        <v>65</v>
      </c>
      <c r="M9" s="274"/>
      <c r="N9" s="275"/>
      <c r="O9" s="275"/>
      <c r="P9" s="276"/>
    </row>
    <row r="10" spans="1:26" s="26" customFormat="1" ht="21.75" customHeight="1" thickBot="1" x14ac:dyDescent="0.3">
      <c r="B10" s="267"/>
      <c r="C10" s="212"/>
      <c r="D10" s="253" t="s">
        <v>66</v>
      </c>
      <c r="E10" s="248"/>
      <c r="F10" s="38" t="s">
        <v>5</v>
      </c>
      <c r="G10" s="212"/>
      <c r="H10" s="253" t="s">
        <v>10</v>
      </c>
      <c r="I10" s="248"/>
      <c r="J10" s="39" t="s">
        <v>5</v>
      </c>
      <c r="K10" s="212"/>
      <c r="L10" s="277"/>
      <c r="M10" s="278"/>
      <c r="N10" s="278"/>
      <c r="O10" s="278"/>
      <c r="P10" s="279"/>
    </row>
    <row r="11" spans="1:26" s="26" customFormat="1" ht="21.75" customHeight="1" x14ac:dyDescent="0.25">
      <c r="A11" s="20"/>
      <c r="B11" s="267"/>
      <c r="C11" s="254" t="s">
        <v>11</v>
      </c>
      <c r="D11" s="255"/>
      <c r="E11" s="40">
        <v>0.39583333333333331</v>
      </c>
      <c r="F11" s="256" t="s">
        <v>12</v>
      </c>
      <c r="G11" s="255"/>
      <c r="H11" s="98">
        <v>0.89</v>
      </c>
      <c r="I11" s="257" t="s">
        <v>13</v>
      </c>
      <c r="J11" s="258"/>
      <c r="K11" s="41">
        <v>18</v>
      </c>
      <c r="L11" s="254" t="s">
        <v>14</v>
      </c>
      <c r="M11" s="255"/>
      <c r="N11" s="42">
        <v>6.7</v>
      </c>
      <c r="O11" s="245" t="s">
        <v>67</v>
      </c>
      <c r="P11" s="246"/>
    </row>
    <row r="12" spans="1:26" s="26" customFormat="1" ht="21.75" customHeight="1" thickBot="1" x14ac:dyDescent="0.3">
      <c r="A12" s="20"/>
      <c r="B12" s="268"/>
      <c r="C12" s="247" t="s">
        <v>15</v>
      </c>
      <c r="D12" s="248"/>
      <c r="E12" s="40">
        <v>0.47083333333333338</v>
      </c>
      <c r="F12" s="249" t="s">
        <v>16</v>
      </c>
      <c r="G12" s="248"/>
      <c r="H12" s="98">
        <v>0.89</v>
      </c>
      <c r="I12" s="250" t="s">
        <v>17</v>
      </c>
      <c r="J12" s="248"/>
      <c r="K12" s="40">
        <v>0.37847222222222227</v>
      </c>
      <c r="L12" s="247" t="s">
        <v>18</v>
      </c>
      <c r="M12" s="248"/>
      <c r="N12" s="43">
        <v>0.4</v>
      </c>
      <c r="O12" s="251">
        <v>1.5</v>
      </c>
      <c r="P12" s="252"/>
    </row>
    <row r="13" spans="1:26" s="26" customFormat="1" ht="21.75" customHeight="1" x14ac:dyDescent="0.25">
      <c r="A13" s="20"/>
      <c r="B13" s="230" t="s">
        <v>19</v>
      </c>
      <c r="C13" s="233" t="s">
        <v>96</v>
      </c>
      <c r="D13" s="234"/>
      <c r="E13" s="234"/>
      <c r="F13" s="235" t="s">
        <v>97</v>
      </c>
      <c r="G13" s="234"/>
      <c r="H13" s="234"/>
      <c r="I13" s="234"/>
      <c r="J13" s="235" t="s">
        <v>98</v>
      </c>
      <c r="K13" s="234"/>
      <c r="L13" s="234"/>
      <c r="M13" s="234"/>
      <c r="N13" s="236" t="s">
        <v>99</v>
      </c>
      <c r="O13" s="234"/>
      <c r="P13" s="237"/>
      <c r="Q13" s="44"/>
      <c r="R13" s="25"/>
      <c r="S13" s="25"/>
      <c r="T13" s="25"/>
      <c r="U13" s="25"/>
      <c r="V13" s="25"/>
      <c r="W13" s="25"/>
      <c r="X13" s="25"/>
      <c r="Y13" s="25"/>
      <c r="Z13" s="25"/>
    </row>
    <row r="14" spans="1:26" s="26" customFormat="1" ht="21.75" customHeight="1" x14ac:dyDescent="0.25">
      <c r="A14" s="20"/>
      <c r="B14" s="231"/>
      <c r="C14" s="238" t="s">
        <v>100</v>
      </c>
      <c r="D14" s="239"/>
      <c r="E14" s="239"/>
      <c r="F14" s="240" t="s">
        <v>101</v>
      </c>
      <c r="G14" s="239"/>
      <c r="H14" s="239"/>
      <c r="I14" s="239"/>
      <c r="J14" s="241" t="s">
        <v>102</v>
      </c>
      <c r="K14" s="239"/>
      <c r="L14" s="239"/>
      <c r="M14" s="239"/>
      <c r="N14" s="242"/>
      <c r="O14" s="227"/>
      <c r="P14" s="243"/>
      <c r="Q14" s="25"/>
      <c r="R14" s="25"/>
      <c r="S14" s="25"/>
      <c r="T14" s="25"/>
      <c r="U14" s="25"/>
      <c r="V14" s="25"/>
      <c r="W14" s="25"/>
      <c r="X14" s="25"/>
      <c r="Y14" s="25"/>
      <c r="Z14" s="25"/>
    </row>
    <row r="15" spans="1:26" s="26" customFormat="1" ht="21.75" customHeight="1" thickBot="1" x14ac:dyDescent="0.3">
      <c r="A15" s="20"/>
      <c r="B15" s="232"/>
      <c r="C15" s="244" t="s">
        <v>103</v>
      </c>
      <c r="D15" s="214"/>
      <c r="E15" s="214"/>
      <c r="F15" s="214" t="s">
        <v>104</v>
      </c>
      <c r="G15" s="215"/>
      <c r="H15" s="215"/>
      <c r="I15" s="215"/>
      <c r="J15" s="214" t="s">
        <v>68</v>
      </c>
      <c r="K15" s="215"/>
      <c r="L15" s="215"/>
      <c r="M15" s="215"/>
      <c r="N15" s="216"/>
      <c r="O15" s="217"/>
      <c r="P15" s="218"/>
      <c r="Q15" s="25"/>
      <c r="R15" s="25"/>
      <c r="S15" s="25"/>
      <c r="T15" s="25"/>
      <c r="U15" s="25"/>
      <c r="V15" s="25"/>
      <c r="W15" s="25"/>
      <c r="X15" s="25"/>
      <c r="Y15" s="25"/>
      <c r="Z15" s="25"/>
    </row>
    <row r="16" spans="1:26" s="26" customFormat="1" ht="21.75" customHeight="1" x14ac:dyDescent="0.25">
      <c r="A16" s="20"/>
      <c r="B16" s="219" t="s">
        <v>20</v>
      </c>
      <c r="C16" s="221" t="s">
        <v>21</v>
      </c>
      <c r="D16" s="221" t="s">
        <v>42</v>
      </c>
      <c r="E16" s="223" t="s">
        <v>22</v>
      </c>
      <c r="F16" s="224" t="s">
        <v>43</v>
      </c>
      <c r="G16" s="225"/>
      <c r="H16" s="221" t="s">
        <v>69</v>
      </c>
      <c r="I16" s="228" t="s">
        <v>70</v>
      </c>
      <c r="J16" s="45" t="s">
        <v>44</v>
      </c>
      <c r="K16" s="46"/>
      <c r="L16" s="47" t="s">
        <v>45</v>
      </c>
      <c r="M16" s="47" t="s">
        <v>46</v>
      </c>
      <c r="N16" s="47" t="s">
        <v>46</v>
      </c>
      <c r="O16" s="47" t="s">
        <v>47</v>
      </c>
      <c r="P16" s="48" t="s">
        <v>23</v>
      </c>
    </row>
    <row r="17" spans="1:26" s="26" customFormat="1" ht="21.75" customHeight="1" thickBot="1" x14ac:dyDescent="0.3">
      <c r="A17" s="49"/>
      <c r="B17" s="220"/>
      <c r="C17" s="222"/>
      <c r="D17" s="222"/>
      <c r="E17" s="222"/>
      <c r="F17" s="226"/>
      <c r="G17" s="227"/>
      <c r="H17" s="222"/>
      <c r="I17" s="229"/>
      <c r="J17" s="50" t="s">
        <v>24</v>
      </c>
      <c r="K17" s="51" t="s">
        <v>25</v>
      </c>
      <c r="L17" s="51" t="s">
        <v>48</v>
      </c>
      <c r="M17" s="51" t="s">
        <v>49</v>
      </c>
      <c r="N17" s="51" t="s">
        <v>26</v>
      </c>
      <c r="O17" s="51" t="s">
        <v>27</v>
      </c>
      <c r="P17" s="52" t="s">
        <v>28</v>
      </c>
    </row>
    <row r="18" spans="1:26" s="61" customFormat="1" ht="21.75" customHeight="1" thickBot="1" x14ac:dyDescent="0.3">
      <c r="A18" s="53"/>
      <c r="B18" s="54"/>
      <c r="C18" s="55">
        <f>+O12</f>
        <v>1.5</v>
      </c>
      <c r="D18" s="55">
        <v>0</v>
      </c>
      <c r="E18" s="56"/>
      <c r="F18" s="57"/>
      <c r="G18" s="62"/>
      <c r="H18" s="58"/>
      <c r="I18" s="59"/>
      <c r="J18" s="63"/>
      <c r="K18" s="56"/>
      <c r="L18" s="56"/>
      <c r="M18" s="56"/>
      <c r="N18" s="56"/>
      <c r="O18" s="56"/>
      <c r="P18" s="60"/>
      <c r="Q18" s="53"/>
      <c r="R18" s="53"/>
      <c r="S18" s="53"/>
      <c r="T18" s="53"/>
      <c r="U18" s="53"/>
      <c r="V18" s="53"/>
      <c r="W18" s="53"/>
      <c r="X18" s="53"/>
      <c r="Y18" s="53"/>
      <c r="Z18" s="53"/>
    </row>
    <row r="19" spans="1:26" s="61" customFormat="1" ht="13.5" customHeight="1" x14ac:dyDescent="0.25">
      <c r="A19" s="53"/>
      <c r="B19" s="210">
        <v>1</v>
      </c>
      <c r="C19" s="213">
        <f>+C18+$N$12</f>
        <v>1.9</v>
      </c>
      <c r="D19" s="190">
        <v>0.189</v>
      </c>
      <c r="E19" s="190">
        <v>9.7000000000000003E-2</v>
      </c>
      <c r="F19" s="64" t="s">
        <v>71</v>
      </c>
      <c r="G19" s="65">
        <v>0</v>
      </c>
      <c r="H19" s="66"/>
      <c r="I19" s="67"/>
      <c r="J19" s="68">
        <v>8.9999999999999993E-3</v>
      </c>
      <c r="K19" s="190">
        <f>+IF(E19&lt;=0.12,(J21),(IF(E19&lt;0.16,((J20+2*J21+J22)/4),IF(E19&gt;=0.16,((J19+3*J20+2*J21+3*J22+J23)/10)))))</f>
        <v>8.0000000000000002E-3</v>
      </c>
      <c r="L19" s="190">
        <f>ROUND(+(D18+D19)/2*(C19-C18),3)</f>
        <v>3.7999999999999999E-2</v>
      </c>
      <c r="M19" s="190">
        <f>ROUND(+K19*L19,4)</f>
        <v>2.9999999999999997E-4</v>
      </c>
      <c r="N19" s="193">
        <f>ROUND(+M19/$M$123*100,2)</f>
        <v>0.11</v>
      </c>
      <c r="O19" s="194"/>
      <c r="P19" s="195"/>
      <c r="Q19" s="53"/>
      <c r="R19" s="53"/>
      <c r="S19" s="53"/>
      <c r="T19" s="53"/>
      <c r="U19" s="53"/>
      <c r="V19" s="53"/>
      <c r="W19" s="53"/>
      <c r="X19" s="53"/>
      <c r="Y19" s="53"/>
      <c r="Z19" s="53"/>
    </row>
    <row r="20" spans="1:26" s="61" customFormat="1" ht="13.5" customHeight="1" x14ac:dyDescent="0.25">
      <c r="A20" s="53"/>
      <c r="B20" s="211"/>
      <c r="C20" s="191"/>
      <c r="D20" s="191"/>
      <c r="E20" s="191"/>
      <c r="F20" s="69" t="s">
        <v>72</v>
      </c>
      <c r="G20" s="70" t="str">
        <f>IF(E19&lt;0.125,"NA",IF(0.125&lt;=E19,(0.2*E19)))</f>
        <v>NA</v>
      </c>
      <c r="H20" s="71"/>
      <c r="I20" s="72"/>
      <c r="J20" s="73"/>
      <c r="K20" s="191"/>
      <c r="L20" s="191"/>
      <c r="M20" s="191"/>
      <c r="N20" s="191"/>
      <c r="O20" s="191"/>
      <c r="P20" s="196"/>
      <c r="Q20" s="53"/>
      <c r="R20" s="53"/>
      <c r="S20" s="53"/>
      <c r="T20" s="53"/>
      <c r="U20" s="53"/>
      <c r="V20" s="53"/>
      <c r="W20" s="53"/>
      <c r="X20" s="53"/>
      <c r="Y20" s="53"/>
      <c r="Z20" s="53"/>
    </row>
    <row r="21" spans="1:26" s="61" customFormat="1" ht="13.5" customHeight="1" x14ac:dyDescent="0.25">
      <c r="A21" s="53"/>
      <c r="B21" s="211"/>
      <c r="C21" s="191"/>
      <c r="D21" s="191"/>
      <c r="E21" s="191"/>
      <c r="F21" s="69" t="s">
        <v>73</v>
      </c>
      <c r="G21" s="70">
        <f>+E19*0.4</f>
        <v>3.8800000000000001E-2</v>
      </c>
      <c r="H21" s="71"/>
      <c r="I21" s="72"/>
      <c r="J21" s="73">
        <v>8.0000000000000002E-3</v>
      </c>
      <c r="K21" s="191"/>
      <c r="L21" s="191"/>
      <c r="M21" s="191"/>
      <c r="N21" s="191"/>
      <c r="O21" s="191"/>
      <c r="P21" s="196"/>
      <c r="Q21" s="53"/>
      <c r="R21" s="53"/>
      <c r="S21" s="53"/>
      <c r="T21" s="53"/>
      <c r="U21" s="53"/>
      <c r="V21" s="53"/>
      <c r="W21" s="53"/>
      <c r="X21" s="53"/>
      <c r="Y21" s="53"/>
      <c r="Z21" s="53"/>
    </row>
    <row r="22" spans="1:26" s="61" customFormat="1" ht="13.5" customHeight="1" x14ac:dyDescent="0.25">
      <c r="A22" s="53"/>
      <c r="B22" s="211"/>
      <c r="C22" s="191"/>
      <c r="D22" s="191"/>
      <c r="E22" s="191"/>
      <c r="F22" s="69" t="s">
        <v>74</v>
      </c>
      <c r="G22" s="70" t="str">
        <f>IF(E19&lt;0.125,"NA",IF(0.125&lt;=E19,(0.8*E19)))</f>
        <v>NA</v>
      </c>
      <c r="H22" s="71"/>
      <c r="I22" s="72"/>
      <c r="J22" s="73"/>
      <c r="K22" s="191"/>
      <c r="L22" s="191"/>
      <c r="M22" s="191"/>
      <c r="N22" s="191"/>
      <c r="O22" s="191"/>
      <c r="P22" s="196"/>
      <c r="Q22" s="53"/>
      <c r="R22" s="53"/>
      <c r="S22" s="53"/>
      <c r="T22" s="53"/>
      <c r="U22" s="53"/>
      <c r="V22" s="53"/>
      <c r="W22" s="53"/>
      <c r="X22" s="53"/>
      <c r="Y22" s="53"/>
      <c r="Z22" s="53"/>
    </row>
    <row r="23" spans="1:26" s="61" customFormat="1" ht="13.5" customHeight="1" thickBot="1" x14ac:dyDescent="0.3">
      <c r="A23" s="53"/>
      <c r="B23" s="212"/>
      <c r="C23" s="192"/>
      <c r="D23" s="192"/>
      <c r="E23" s="192"/>
      <c r="F23" s="74" t="s">
        <v>75</v>
      </c>
      <c r="G23" s="75">
        <f>+E19</f>
        <v>9.7000000000000003E-2</v>
      </c>
      <c r="H23" s="76"/>
      <c r="I23" s="77"/>
      <c r="J23" s="78">
        <v>0.02</v>
      </c>
      <c r="K23" s="192"/>
      <c r="L23" s="192"/>
      <c r="M23" s="192"/>
      <c r="N23" s="192"/>
      <c r="O23" s="192"/>
      <c r="P23" s="197"/>
      <c r="Q23" s="53"/>
      <c r="R23" s="53"/>
      <c r="S23" s="53"/>
      <c r="T23" s="53"/>
      <c r="U23" s="53"/>
      <c r="V23" s="53"/>
      <c r="W23" s="53"/>
      <c r="X23" s="53"/>
      <c r="Y23" s="53"/>
      <c r="Z23" s="53"/>
    </row>
    <row r="24" spans="1:26" s="61" customFormat="1" ht="13.5" customHeight="1" x14ac:dyDescent="0.25">
      <c r="A24" s="53"/>
      <c r="B24" s="210">
        <v>2</v>
      </c>
      <c r="C24" s="213">
        <f>+C19+$N$12</f>
        <v>2.2999999999999998</v>
      </c>
      <c r="D24" s="190">
        <v>0.22500000000000001</v>
      </c>
      <c r="E24" s="190">
        <v>8.5000000000000006E-2</v>
      </c>
      <c r="F24" s="64" t="s">
        <v>71</v>
      </c>
      <c r="G24" s="65">
        <v>0</v>
      </c>
      <c r="H24" s="66"/>
      <c r="I24" s="67"/>
      <c r="J24" s="68">
        <v>7.0000000000000001E-3</v>
      </c>
      <c r="K24" s="190">
        <f>+IF(E24&lt;=0.12,(J26),(IF(E24&lt;0.16,((J25+2*J26+J27)/4),IF(E24&gt;=0.16,((J24+3*J25+2*J26+3*J27+J28)/10)))))</f>
        <v>1.0999999999999999E-2</v>
      </c>
      <c r="L24" s="190">
        <f>ROUND(+(D19+D24)/2*(C24-C19),3)</f>
        <v>8.3000000000000004E-2</v>
      </c>
      <c r="M24" s="190">
        <f>ROUND(+K24*L24,4)</f>
        <v>8.9999999999999998E-4</v>
      </c>
      <c r="N24" s="193">
        <f>ROUND(+M24/$M$123*100,2)</f>
        <v>0.34</v>
      </c>
      <c r="O24" s="194"/>
      <c r="P24" s="195"/>
      <c r="Q24" s="53"/>
      <c r="R24" s="53"/>
      <c r="S24" s="53"/>
      <c r="T24" s="53"/>
      <c r="U24" s="53"/>
      <c r="V24" s="53"/>
      <c r="W24" s="53"/>
      <c r="X24" s="53"/>
      <c r="Y24" s="53"/>
      <c r="Z24" s="53"/>
    </row>
    <row r="25" spans="1:26" s="61" customFormat="1" ht="13.5" customHeight="1" x14ac:dyDescent="0.25">
      <c r="A25" s="53"/>
      <c r="B25" s="211"/>
      <c r="C25" s="191"/>
      <c r="D25" s="191"/>
      <c r="E25" s="191"/>
      <c r="F25" s="69" t="s">
        <v>72</v>
      </c>
      <c r="G25" s="70" t="str">
        <f t="shared" ref="G25" si="0">IF(E24&lt;0.125,"NA",IF(0.125&lt;=E24,(0.2*E24)))</f>
        <v>NA</v>
      </c>
      <c r="H25" s="71"/>
      <c r="I25" s="72"/>
      <c r="J25" s="73"/>
      <c r="K25" s="191"/>
      <c r="L25" s="191"/>
      <c r="M25" s="191"/>
      <c r="N25" s="191"/>
      <c r="O25" s="191"/>
      <c r="P25" s="196"/>
      <c r="Q25" s="53"/>
      <c r="R25" s="53"/>
      <c r="S25" s="53"/>
      <c r="T25" s="53"/>
      <c r="U25" s="53"/>
      <c r="V25" s="53"/>
      <c r="W25" s="53"/>
      <c r="X25" s="53"/>
      <c r="Y25" s="53"/>
      <c r="Z25" s="53"/>
    </row>
    <row r="26" spans="1:26" s="61" customFormat="1" ht="13.5" customHeight="1" x14ac:dyDescent="0.25">
      <c r="A26" s="53"/>
      <c r="B26" s="211"/>
      <c r="C26" s="191"/>
      <c r="D26" s="191"/>
      <c r="E26" s="191"/>
      <c r="F26" s="69" t="s">
        <v>73</v>
      </c>
      <c r="G26" s="70">
        <f t="shared" ref="G26" si="1">+E24*0.4</f>
        <v>3.4000000000000002E-2</v>
      </c>
      <c r="H26" s="71"/>
      <c r="I26" s="72"/>
      <c r="J26" s="73">
        <v>1.0999999999999999E-2</v>
      </c>
      <c r="K26" s="191"/>
      <c r="L26" s="191"/>
      <c r="M26" s="191"/>
      <c r="N26" s="191"/>
      <c r="O26" s="191"/>
      <c r="P26" s="196"/>
      <c r="Q26" s="53"/>
      <c r="R26" s="53"/>
      <c r="S26" s="53"/>
      <c r="T26" s="53"/>
      <c r="U26" s="53"/>
      <c r="V26" s="53"/>
      <c r="W26" s="53"/>
      <c r="X26" s="53"/>
      <c r="Y26" s="53"/>
      <c r="Z26" s="53"/>
    </row>
    <row r="27" spans="1:26" s="61" customFormat="1" ht="13.5" customHeight="1" x14ac:dyDescent="0.25">
      <c r="A27" s="53"/>
      <c r="B27" s="211"/>
      <c r="C27" s="191"/>
      <c r="D27" s="191"/>
      <c r="E27" s="191"/>
      <c r="F27" s="69" t="s">
        <v>74</v>
      </c>
      <c r="G27" s="70" t="str">
        <f t="shared" ref="G27" si="2">IF(E24&lt;0.125,"NA",IF(0.125&lt;=E24,(0.8*E24)))</f>
        <v>NA</v>
      </c>
      <c r="H27" s="71"/>
      <c r="I27" s="72"/>
      <c r="J27" s="73"/>
      <c r="K27" s="191"/>
      <c r="L27" s="191"/>
      <c r="M27" s="191"/>
      <c r="N27" s="191"/>
      <c r="O27" s="191"/>
      <c r="P27" s="196"/>
      <c r="Q27" s="53"/>
      <c r="R27" s="53"/>
      <c r="S27" s="53"/>
      <c r="T27" s="53"/>
      <c r="U27" s="53"/>
      <c r="V27" s="53"/>
      <c r="W27" s="53"/>
      <c r="X27" s="53"/>
      <c r="Y27" s="53"/>
      <c r="Z27" s="53"/>
    </row>
    <row r="28" spans="1:26" s="61" customFormat="1" ht="13.5" customHeight="1" thickBot="1" x14ac:dyDescent="0.3">
      <c r="A28" s="53"/>
      <c r="B28" s="212"/>
      <c r="C28" s="192"/>
      <c r="D28" s="192"/>
      <c r="E28" s="192"/>
      <c r="F28" s="74" t="s">
        <v>75</v>
      </c>
      <c r="G28" s="75">
        <f t="shared" ref="G28" si="3">+E24</f>
        <v>8.5000000000000006E-2</v>
      </c>
      <c r="H28" s="76"/>
      <c r="I28" s="77"/>
      <c r="J28" s="78">
        <v>1.2999999999999999E-2</v>
      </c>
      <c r="K28" s="192"/>
      <c r="L28" s="192"/>
      <c r="M28" s="192"/>
      <c r="N28" s="192"/>
      <c r="O28" s="192"/>
      <c r="P28" s="197"/>
      <c r="Q28" s="53"/>
      <c r="R28" s="53"/>
      <c r="S28" s="53"/>
      <c r="T28" s="53"/>
      <c r="U28" s="53"/>
      <c r="V28" s="53"/>
      <c r="W28" s="53"/>
      <c r="X28" s="53"/>
      <c r="Y28" s="53"/>
      <c r="Z28" s="53"/>
    </row>
    <row r="29" spans="1:26" s="61" customFormat="1" ht="13.5" customHeight="1" x14ac:dyDescent="0.25">
      <c r="A29" s="53"/>
      <c r="B29" s="210">
        <v>3</v>
      </c>
      <c r="C29" s="213">
        <f t="shared" ref="C29" si="4">+C24+$N$12</f>
        <v>2.6999999999999997</v>
      </c>
      <c r="D29" s="190">
        <v>0.52600000000000002</v>
      </c>
      <c r="E29" s="190">
        <v>0.28000000000000003</v>
      </c>
      <c r="F29" s="64" t="s">
        <v>71</v>
      </c>
      <c r="G29" s="65">
        <v>0</v>
      </c>
      <c r="H29" s="66"/>
      <c r="I29" s="67"/>
      <c r="J29" s="68">
        <v>7.0000000000000001E-3</v>
      </c>
      <c r="K29" s="190">
        <f>+IF(E29&lt;=0.12,(J31),(IF(E29&lt;0.16,((J30+2*J31+J32)/4),IF(E29&gt;=0.16,((J29+3*J30+2*J31+3*J32+J33)/10)))))</f>
        <v>3.8499999999999993E-2</v>
      </c>
      <c r="L29" s="190">
        <f t="shared" ref="L29" si="5">ROUND(+(D24+D29)/2*(C29-C24),3)</f>
        <v>0.15</v>
      </c>
      <c r="M29" s="190">
        <f t="shared" ref="M29" si="6">ROUND(+K29*L29,4)</f>
        <v>5.7999999999999996E-3</v>
      </c>
      <c r="N29" s="193">
        <f t="shared" ref="N29" si="7">ROUND(+M29/$M$123*100,2)</f>
        <v>2.1800000000000002</v>
      </c>
      <c r="O29" s="194"/>
      <c r="P29" s="195"/>
      <c r="Q29" s="53"/>
      <c r="R29" s="53"/>
      <c r="S29" s="53"/>
      <c r="T29" s="53"/>
      <c r="U29" s="53"/>
      <c r="V29" s="53"/>
      <c r="W29" s="53"/>
      <c r="X29" s="53"/>
      <c r="Y29" s="53"/>
      <c r="Z29" s="53"/>
    </row>
    <row r="30" spans="1:26" s="61" customFormat="1" ht="13.5" customHeight="1" x14ac:dyDescent="0.25">
      <c r="A30" s="53"/>
      <c r="B30" s="211"/>
      <c r="C30" s="191"/>
      <c r="D30" s="191"/>
      <c r="E30" s="191"/>
      <c r="F30" s="69" t="s">
        <v>72</v>
      </c>
      <c r="G30" s="70">
        <f t="shared" ref="G30" si="8">IF(E29&lt;0.125,"NA",IF(0.125&lt;=E29,(0.2*E29)))</f>
        <v>5.6000000000000008E-2</v>
      </c>
      <c r="H30" s="71"/>
      <c r="I30" s="72"/>
      <c r="J30" s="73">
        <v>1.4E-2</v>
      </c>
      <c r="K30" s="191"/>
      <c r="L30" s="191"/>
      <c r="M30" s="191"/>
      <c r="N30" s="191"/>
      <c r="O30" s="191"/>
      <c r="P30" s="196"/>
      <c r="Q30" s="53"/>
      <c r="R30" s="53"/>
      <c r="S30" s="53"/>
      <c r="T30" s="53"/>
      <c r="U30" s="53"/>
      <c r="V30" s="53"/>
      <c r="W30" s="53"/>
      <c r="X30" s="53"/>
      <c r="Y30" s="53"/>
      <c r="Z30" s="53"/>
    </row>
    <row r="31" spans="1:26" s="61" customFormat="1" ht="13.5" customHeight="1" x14ac:dyDescent="0.25">
      <c r="A31" s="53"/>
      <c r="B31" s="211"/>
      <c r="C31" s="191"/>
      <c r="D31" s="191"/>
      <c r="E31" s="191"/>
      <c r="F31" s="69" t="s">
        <v>73</v>
      </c>
      <c r="G31" s="70">
        <f t="shared" ref="G31" si="9">+E29*0.4</f>
        <v>0.11200000000000002</v>
      </c>
      <c r="H31" s="71"/>
      <c r="I31" s="72"/>
      <c r="J31" s="73">
        <v>5.8999999999999997E-2</v>
      </c>
      <c r="K31" s="191"/>
      <c r="L31" s="191"/>
      <c r="M31" s="191"/>
      <c r="N31" s="191"/>
      <c r="O31" s="191"/>
      <c r="P31" s="196"/>
      <c r="Q31" s="53"/>
      <c r="R31" s="53"/>
      <c r="S31" s="53"/>
      <c r="T31" s="53"/>
      <c r="U31" s="53"/>
      <c r="V31" s="53"/>
      <c r="W31" s="53"/>
      <c r="X31" s="53"/>
      <c r="Y31" s="53"/>
      <c r="Z31" s="53"/>
    </row>
    <row r="32" spans="1:26" s="61" customFormat="1" ht="13.5" customHeight="1" x14ac:dyDescent="0.25">
      <c r="A32" s="53"/>
      <c r="B32" s="211"/>
      <c r="C32" s="191"/>
      <c r="D32" s="191"/>
      <c r="E32" s="191"/>
      <c r="F32" s="69" t="s">
        <v>74</v>
      </c>
      <c r="G32" s="70">
        <f t="shared" ref="G32" si="10">IF(E29&lt;0.125,"NA",IF(0.125&lt;=E29,(0.8*E29)))</f>
        <v>0.22400000000000003</v>
      </c>
      <c r="H32" s="71"/>
      <c r="I32" s="72"/>
      <c r="J32" s="73">
        <v>5.5E-2</v>
      </c>
      <c r="K32" s="191"/>
      <c r="L32" s="191"/>
      <c r="M32" s="191"/>
      <c r="N32" s="191"/>
      <c r="O32" s="191"/>
      <c r="P32" s="196"/>
      <c r="Q32" s="53"/>
      <c r="R32" s="53"/>
      <c r="S32" s="53"/>
      <c r="T32" s="53"/>
      <c r="U32" s="53"/>
      <c r="V32" s="53"/>
      <c r="W32" s="53"/>
      <c r="X32" s="53"/>
      <c r="Y32" s="53"/>
      <c r="Z32" s="53"/>
    </row>
    <row r="33" spans="1:26" s="61" customFormat="1" ht="13.5" customHeight="1" thickBot="1" x14ac:dyDescent="0.3">
      <c r="A33" s="53"/>
      <c r="B33" s="212"/>
      <c r="C33" s="192"/>
      <c r="D33" s="192"/>
      <c r="E33" s="192"/>
      <c r="F33" s="74" t="s">
        <v>75</v>
      </c>
      <c r="G33" s="75">
        <f t="shared" ref="G33" si="11">+E29</f>
        <v>0.28000000000000003</v>
      </c>
      <c r="H33" s="76"/>
      <c r="I33" s="77"/>
      <c r="J33" s="78">
        <v>5.2999999999999999E-2</v>
      </c>
      <c r="K33" s="192"/>
      <c r="L33" s="192"/>
      <c r="M33" s="192"/>
      <c r="N33" s="192"/>
      <c r="O33" s="192"/>
      <c r="P33" s="197"/>
      <c r="Q33" s="53"/>
      <c r="R33" s="53"/>
      <c r="S33" s="53"/>
      <c r="T33" s="53"/>
      <c r="U33" s="53"/>
      <c r="V33" s="53"/>
      <c r="W33" s="53"/>
      <c r="X33" s="53"/>
      <c r="Y33" s="53"/>
      <c r="Z33" s="53"/>
    </row>
    <row r="34" spans="1:26" s="61" customFormat="1" ht="13.5" customHeight="1" x14ac:dyDescent="0.25">
      <c r="A34" s="53"/>
      <c r="B34" s="210">
        <v>4</v>
      </c>
      <c r="C34" s="213">
        <f t="shared" ref="C34" si="12">+C29+$N$12</f>
        <v>3.0999999999999996</v>
      </c>
      <c r="D34" s="190">
        <v>0.24</v>
      </c>
      <c r="E34" s="190">
        <v>0.47699999999999998</v>
      </c>
      <c r="F34" s="64" t="s">
        <v>71</v>
      </c>
      <c r="G34" s="65">
        <v>0</v>
      </c>
      <c r="H34" s="66"/>
      <c r="I34" s="67"/>
      <c r="J34" s="68">
        <v>1.6E-2</v>
      </c>
      <c r="K34" s="190">
        <f t="shared" ref="K34" si="13">+IF(E34&lt;=0.12,(J36),(IF(E34&lt;0.16,((J35+2*J36+J37)/4),IF(E34&gt;=0.16,((J34+3*J35+2*J36+3*J37+J38)/10)))))</f>
        <v>6.9999999999999993E-2</v>
      </c>
      <c r="L34" s="190">
        <f t="shared" ref="L34" si="14">ROUND(+(D29+D34)/2*(C34-C29),3)</f>
        <v>0.153</v>
      </c>
      <c r="M34" s="190">
        <f t="shared" ref="M34" si="15">ROUND(+K34*L34,4)</f>
        <v>1.0699999999999999E-2</v>
      </c>
      <c r="N34" s="193">
        <f t="shared" ref="N34" si="16">ROUND(+M34/$M$123*100,2)</f>
        <v>4.0199999999999996</v>
      </c>
      <c r="O34" s="194"/>
      <c r="P34" s="195"/>
      <c r="Q34" s="53"/>
      <c r="R34" s="53"/>
      <c r="S34" s="53"/>
      <c r="T34" s="53"/>
      <c r="U34" s="53"/>
      <c r="V34" s="53"/>
      <c r="W34" s="53"/>
      <c r="X34" s="53"/>
      <c r="Y34" s="53"/>
      <c r="Z34" s="53"/>
    </row>
    <row r="35" spans="1:26" s="61" customFormat="1" ht="13.5" customHeight="1" x14ac:dyDescent="0.25">
      <c r="A35" s="53"/>
      <c r="B35" s="211"/>
      <c r="C35" s="191"/>
      <c r="D35" s="191"/>
      <c r="E35" s="191"/>
      <c r="F35" s="69" t="s">
        <v>72</v>
      </c>
      <c r="G35" s="70">
        <f t="shared" ref="G35" si="17">IF(E34&lt;0.125,"NA",IF(0.125&lt;=E34,(0.2*E34)))</f>
        <v>9.5399999999999999E-2</v>
      </c>
      <c r="H35" s="71"/>
      <c r="I35" s="72"/>
      <c r="J35" s="73">
        <v>7.3999999999999996E-2</v>
      </c>
      <c r="K35" s="191"/>
      <c r="L35" s="191"/>
      <c r="M35" s="191"/>
      <c r="N35" s="191"/>
      <c r="O35" s="191"/>
      <c r="P35" s="196"/>
      <c r="Q35" s="53"/>
      <c r="R35" s="53"/>
      <c r="S35" s="53"/>
      <c r="T35" s="53"/>
      <c r="U35" s="53"/>
      <c r="V35" s="53"/>
      <c r="W35" s="53"/>
      <c r="X35" s="53"/>
      <c r="Y35" s="53"/>
      <c r="Z35" s="53"/>
    </row>
    <row r="36" spans="1:26" s="61" customFormat="1" ht="13.5" customHeight="1" x14ac:dyDescent="0.25">
      <c r="A36" s="53"/>
      <c r="B36" s="211"/>
      <c r="C36" s="191"/>
      <c r="D36" s="191"/>
      <c r="E36" s="191"/>
      <c r="F36" s="69" t="s">
        <v>73</v>
      </c>
      <c r="G36" s="70">
        <f t="shared" ref="G36" si="18">+E34*0.4</f>
        <v>0.1908</v>
      </c>
      <c r="H36" s="71"/>
      <c r="I36" s="72"/>
      <c r="J36" s="73">
        <v>6.7000000000000004E-2</v>
      </c>
      <c r="K36" s="191"/>
      <c r="L36" s="191"/>
      <c r="M36" s="191"/>
      <c r="N36" s="191"/>
      <c r="O36" s="191"/>
      <c r="P36" s="196"/>
      <c r="Q36" s="53"/>
      <c r="R36" s="53"/>
      <c r="S36" s="53"/>
      <c r="T36" s="53"/>
      <c r="U36" s="53"/>
      <c r="V36" s="53"/>
      <c r="W36" s="53"/>
      <c r="X36" s="53"/>
      <c r="Y36" s="53"/>
      <c r="Z36" s="53"/>
    </row>
    <row r="37" spans="1:26" s="61" customFormat="1" ht="13.5" customHeight="1" x14ac:dyDescent="0.25">
      <c r="A37" s="53"/>
      <c r="B37" s="211"/>
      <c r="C37" s="191"/>
      <c r="D37" s="191"/>
      <c r="E37" s="191"/>
      <c r="F37" s="69" t="s">
        <v>74</v>
      </c>
      <c r="G37" s="70">
        <f t="shared" ref="G37" si="19">IF(E34&lt;0.125,"NA",IF(0.125&lt;=E34,(0.8*E34)))</f>
        <v>0.38159999999999999</v>
      </c>
      <c r="H37" s="71"/>
      <c r="I37" s="72"/>
      <c r="J37" s="73">
        <v>8.2000000000000003E-2</v>
      </c>
      <c r="K37" s="191"/>
      <c r="L37" s="191"/>
      <c r="M37" s="191"/>
      <c r="N37" s="191"/>
      <c r="O37" s="191"/>
      <c r="P37" s="196"/>
      <c r="Q37" s="53"/>
      <c r="R37" s="53"/>
      <c r="S37" s="53"/>
      <c r="T37" s="53"/>
      <c r="U37" s="53"/>
      <c r="V37" s="53"/>
      <c r="W37" s="53"/>
      <c r="X37" s="53"/>
      <c r="Y37" s="53"/>
      <c r="Z37" s="53"/>
    </row>
    <row r="38" spans="1:26" s="61" customFormat="1" ht="13.5" customHeight="1" thickBot="1" x14ac:dyDescent="0.3">
      <c r="A38" s="53"/>
      <c r="B38" s="212"/>
      <c r="C38" s="192"/>
      <c r="D38" s="192"/>
      <c r="E38" s="192"/>
      <c r="F38" s="74" t="s">
        <v>75</v>
      </c>
      <c r="G38" s="75">
        <f t="shared" ref="G38" si="20">+E34</f>
        <v>0.47699999999999998</v>
      </c>
      <c r="H38" s="76"/>
      <c r="I38" s="77"/>
      <c r="J38" s="78">
        <v>8.2000000000000003E-2</v>
      </c>
      <c r="K38" s="192"/>
      <c r="L38" s="192"/>
      <c r="M38" s="192"/>
      <c r="N38" s="192"/>
      <c r="O38" s="192"/>
      <c r="P38" s="197"/>
      <c r="Q38" s="53"/>
      <c r="R38" s="53"/>
      <c r="S38" s="53"/>
      <c r="T38" s="53"/>
      <c r="U38" s="53"/>
      <c r="V38" s="53"/>
      <c r="W38" s="53"/>
      <c r="X38" s="53"/>
      <c r="Y38" s="53"/>
      <c r="Z38" s="53"/>
    </row>
    <row r="39" spans="1:26" s="61" customFormat="1" ht="13.5" customHeight="1" x14ac:dyDescent="0.25">
      <c r="A39" s="53"/>
      <c r="B39" s="210">
        <v>5</v>
      </c>
      <c r="C39" s="213">
        <f t="shared" ref="C39" si="21">+C34+$N$12</f>
        <v>3.4999999999999996</v>
      </c>
      <c r="D39" s="190">
        <v>0.23499999999999999</v>
      </c>
      <c r="E39" s="190">
        <v>0.23699999999999999</v>
      </c>
      <c r="F39" s="64" t="s">
        <v>71</v>
      </c>
      <c r="G39" s="65">
        <v>0</v>
      </c>
      <c r="H39" s="66"/>
      <c r="I39" s="67"/>
      <c r="J39" s="68">
        <v>8.0000000000000002E-3</v>
      </c>
      <c r="K39" s="190">
        <f t="shared" ref="K39" si="22">+IF(E39&lt;=0.12,(J41),(IF(E39&lt;0.16,((J40+2*J41+J42)/4),IF(E39&gt;=0.16,((J39+3*J40+2*J41+3*J42+J43)/10)))))</f>
        <v>3.3300000000000003E-2</v>
      </c>
      <c r="L39" s="190">
        <f t="shared" ref="L39" si="23">ROUND(+(D34+D39)/2*(C39-C34),3)</f>
        <v>9.5000000000000001E-2</v>
      </c>
      <c r="M39" s="190">
        <f t="shared" ref="M39" si="24">ROUND(+K39*L39,4)</f>
        <v>3.2000000000000002E-3</v>
      </c>
      <c r="N39" s="193">
        <f t="shared" ref="N39" si="25">ROUND(+M39/$M$123*100,2)</f>
        <v>1.2</v>
      </c>
      <c r="O39" s="194"/>
      <c r="P39" s="195"/>
      <c r="Q39" s="53"/>
      <c r="R39" s="53"/>
      <c r="S39" s="53"/>
      <c r="T39" s="53"/>
      <c r="U39" s="53"/>
      <c r="V39" s="53"/>
      <c r="W39" s="53"/>
      <c r="X39" s="53"/>
      <c r="Y39" s="53"/>
      <c r="Z39" s="53"/>
    </row>
    <row r="40" spans="1:26" s="61" customFormat="1" ht="13.5" customHeight="1" x14ac:dyDescent="0.25">
      <c r="A40" s="53"/>
      <c r="B40" s="211"/>
      <c r="C40" s="191"/>
      <c r="D40" s="191"/>
      <c r="E40" s="191"/>
      <c r="F40" s="69" t="s">
        <v>72</v>
      </c>
      <c r="G40" s="70">
        <f t="shared" ref="G40" si="26">IF(E39&lt;0.125,"NA",IF(0.125&lt;=E39,(0.2*E39)))</f>
        <v>4.7399999999999998E-2</v>
      </c>
      <c r="H40" s="71"/>
      <c r="I40" s="72"/>
      <c r="J40" s="73">
        <v>1.7999999999999999E-2</v>
      </c>
      <c r="K40" s="191"/>
      <c r="L40" s="191"/>
      <c r="M40" s="191"/>
      <c r="N40" s="191"/>
      <c r="O40" s="191"/>
      <c r="P40" s="196"/>
      <c r="Q40" s="53"/>
      <c r="R40" s="53"/>
      <c r="S40" s="53"/>
      <c r="T40" s="53"/>
      <c r="U40" s="53"/>
      <c r="V40" s="53"/>
      <c r="W40" s="53"/>
      <c r="X40" s="53"/>
      <c r="Y40" s="53"/>
      <c r="Z40" s="53"/>
    </row>
    <row r="41" spans="1:26" s="61" customFormat="1" ht="13.5" customHeight="1" x14ac:dyDescent="0.25">
      <c r="A41" s="53"/>
      <c r="B41" s="211"/>
      <c r="C41" s="191"/>
      <c r="D41" s="191"/>
      <c r="E41" s="191"/>
      <c r="F41" s="69" t="s">
        <v>73</v>
      </c>
      <c r="G41" s="70">
        <f t="shared" ref="G41" si="27">+E39*0.4</f>
        <v>9.4799999999999995E-2</v>
      </c>
      <c r="H41" s="71"/>
      <c r="I41" s="72"/>
      <c r="J41" s="73">
        <v>6.5000000000000002E-2</v>
      </c>
      <c r="K41" s="191"/>
      <c r="L41" s="191"/>
      <c r="M41" s="191"/>
      <c r="N41" s="191"/>
      <c r="O41" s="191"/>
      <c r="P41" s="196"/>
      <c r="Q41" s="53"/>
      <c r="R41" s="53"/>
      <c r="S41" s="53"/>
      <c r="T41" s="53"/>
      <c r="U41" s="53"/>
      <c r="V41" s="53"/>
      <c r="W41" s="53"/>
      <c r="X41" s="53"/>
      <c r="Y41" s="53"/>
      <c r="Z41" s="53"/>
    </row>
    <row r="42" spans="1:26" s="61" customFormat="1" ht="13.5" customHeight="1" x14ac:dyDescent="0.25">
      <c r="A42" s="53"/>
      <c r="B42" s="211"/>
      <c r="C42" s="191"/>
      <c r="D42" s="191"/>
      <c r="E42" s="191"/>
      <c r="F42" s="69" t="s">
        <v>74</v>
      </c>
      <c r="G42" s="70">
        <f t="shared" ref="G42" si="28">IF(E39&lt;0.125,"NA",IF(0.125&lt;=E39,(0.8*E39)))</f>
        <v>0.18959999999999999</v>
      </c>
      <c r="H42" s="71"/>
      <c r="I42" s="72"/>
      <c r="J42" s="73">
        <v>3.1E-2</v>
      </c>
      <c r="K42" s="191"/>
      <c r="L42" s="191"/>
      <c r="M42" s="191"/>
      <c r="N42" s="191"/>
      <c r="O42" s="191"/>
      <c r="P42" s="196"/>
      <c r="Q42" s="53"/>
      <c r="R42" s="53"/>
      <c r="S42" s="53"/>
      <c r="T42" s="53"/>
      <c r="U42" s="53"/>
      <c r="V42" s="53"/>
      <c r="W42" s="53"/>
      <c r="X42" s="53"/>
      <c r="Y42" s="53"/>
      <c r="Z42" s="53"/>
    </row>
    <row r="43" spans="1:26" s="61" customFormat="1" ht="13.5" customHeight="1" thickBot="1" x14ac:dyDescent="0.3">
      <c r="A43" s="53"/>
      <c r="B43" s="212"/>
      <c r="C43" s="192"/>
      <c r="D43" s="192"/>
      <c r="E43" s="192"/>
      <c r="F43" s="74" t="s">
        <v>75</v>
      </c>
      <c r="G43" s="75">
        <f t="shared" ref="G43" si="29">+E39</f>
        <v>0.23699999999999999</v>
      </c>
      <c r="H43" s="76"/>
      <c r="I43" s="77"/>
      <c r="J43" s="78">
        <v>4.8000000000000001E-2</v>
      </c>
      <c r="K43" s="192"/>
      <c r="L43" s="192"/>
      <c r="M43" s="192"/>
      <c r="N43" s="192"/>
      <c r="O43" s="192"/>
      <c r="P43" s="197"/>
      <c r="Q43" s="53"/>
      <c r="R43" s="53"/>
      <c r="S43" s="53"/>
      <c r="T43" s="53"/>
      <c r="U43" s="53"/>
      <c r="V43" s="53"/>
      <c r="W43" s="53"/>
      <c r="X43" s="53"/>
      <c r="Y43" s="53"/>
      <c r="Z43" s="53"/>
    </row>
    <row r="44" spans="1:26" s="61" customFormat="1" ht="13.5" customHeight="1" x14ac:dyDescent="0.25">
      <c r="A44" s="53"/>
      <c r="B44" s="210">
        <v>6</v>
      </c>
      <c r="C44" s="213">
        <f t="shared" ref="C44" si="30">+C39+$N$12</f>
        <v>3.8999999999999995</v>
      </c>
      <c r="D44" s="190">
        <v>0.26600000000000001</v>
      </c>
      <c r="E44" s="190">
        <v>0.47499999999999998</v>
      </c>
      <c r="F44" s="64" t="s">
        <v>71</v>
      </c>
      <c r="G44" s="65">
        <v>0</v>
      </c>
      <c r="H44" s="66"/>
      <c r="I44" s="67"/>
      <c r="J44" s="68">
        <v>0.02</v>
      </c>
      <c r="K44" s="190">
        <f t="shared" ref="K44" si="31">+IF(E44&lt;=0.12,(J46),(IF(E44&lt;0.16,((J45+2*J46+J47)/4),IF(E44&gt;=0.16,((J44+3*J45+2*J46+3*J47+J48)/10)))))</f>
        <v>0.26040000000000002</v>
      </c>
      <c r="L44" s="190">
        <f t="shared" ref="L44" si="32">ROUND(+(D39+D44)/2*(C44-C39),3)</f>
        <v>0.1</v>
      </c>
      <c r="M44" s="190">
        <f t="shared" ref="M44" si="33">ROUND(+K44*L44,4)</f>
        <v>2.5999999999999999E-2</v>
      </c>
      <c r="N44" s="193">
        <f t="shared" ref="N44" si="34">ROUND(+M44/$M$123*100,2)</f>
        <v>9.76</v>
      </c>
      <c r="O44" s="194"/>
      <c r="P44" s="195"/>
      <c r="Q44" s="53"/>
      <c r="R44" s="53"/>
      <c r="S44" s="53"/>
      <c r="T44" s="53"/>
      <c r="U44" s="53"/>
      <c r="V44" s="53"/>
      <c r="W44" s="53"/>
      <c r="X44" s="53"/>
      <c r="Y44" s="53"/>
      <c r="Z44" s="53"/>
    </row>
    <row r="45" spans="1:26" s="61" customFormat="1" ht="13.5" customHeight="1" x14ac:dyDescent="0.25">
      <c r="A45" s="53"/>
      <c r="B45" s="211"/>
      <c r="C45" s="191"/>
      <c r="D45" s="191"/>
      <c r="E45" s="191"/>
      <c r="F45" s="69" t="s">
        <v>72</v>
      </c>
      <c r="G45" s="70">
        <f t="shared" ref="G45" si="35">IF(E44&lt;0.125,"NA",IF(0.125&lt;=E44,(0.2*E44)))</f>
        <v>9.5000000000000001E-2</v>
      </c>
      <c r="H45" s="71"/>
      <c r="I45" s="72"/>
      <c r="J45" s="73">
        <v>0.44</v>
      </c>
      <c r="K45" s="191"/>
      <c r="L45" s="191"/>
      <c r="M45" s="191"/>
      <c r="N45" s="191"/>
      <c r="O45" s="191"/>
      <c r="P45" s="196"/>
      <c r="Q45" s="53"/>
      <c r="R45" s="53"/>
      <c r="S45" s="53"/>
      <c r="T45" s="53"/>
      <c r="U45" s="53"/>
      <c r="V45" s="53"/>
      <c r="W45" s="53"/>
      <c r="X45" s="53"/>
      <c r="Y45" s="53"/>
      <c r="Z45" s="53"/>
    </row>
    <row r="46" spans="1:26" s="61" customFormat="1" ht="13.5" customHeight="1" x14ac:dyDescent="0.25">
      <c r="A46" s="53"/>
      <c r="B46" s="211"/>
      <c r="C46" s="191"/>
      <c r="D46" s="191"/>
      <c r="E46" s="191"/>
      <c r="F46" s="69" t="s">
        <v>73</v>
      </c>
      <c r="G46" s="70">
        <f t="shared" ref="G46" si="36">+E44*0.4</f>
        <v>0.19</v>
      </c>
      <c r="H46" s="71"/>
      <c r="I46" s="72"/>
      <c r="J46" s="73">
        <v>0.43</v>
      </c>
      <c r="K46" s="191"/>
      <c r="L46" s="191"/>
      <c r="M46" s="191"/>
      <c r="N46" s="191"/>
      <c r="O46" s="191"/>
      <c r="P46" s="196"/>
      <c r="Q46" s="53"/>
      <c r="R46" s="53"/>
      <c r="S46" s="53"/>
      <c r="T46" s="53"/>
      <c r="U46" s="53"/>
      <c r="V46" s="53"/>
      <c r="W46" s="53"/>
      <c r="X46" s="53"/>
      <c r="Y46" s="53"/>
      <c r="Z46" s="53"/>
    </row>
    <row r="47" spans="1:26" s="61" customFormat="1" ht="13.5" customHeight="1" x14ac:dyDescent="0.25">
      <c r="A47" s="53"/>
      <c r="B47" s="211"/>
      <c r="C47" s="191"/>
      <c r="D47" s="191"/>
      <c r="E47" s="191"/>
      <c r="F47" s="69" t="s">
        <v>74</v>
      </c>
      <c r="G47" s="70">
        <f t="shared" ref="G47" si="37">IF(E44&lt;0.125,"NA",IF(0.125&lt;=E44,(0.8*E44)))</f>
        <v>0.38</v>
      </c>
      <c r="H47" s="71"/>
      <c r="I47" s="72"/>
      <c r="J47" s="73">
        <v>0.108</v>
      </c>
      <c r="K47" s="191"/>
      <c r="L47" s="191"/>
      <c r="M47" s="191"/>
      <c r="N47" s="191"/>
      <c r="O47" s="191"/>
      <c r="P47" s="196"/>
      <c r="Q47" s="53"/>
      <c r="R47" s="53"/>
      <c r="S47" s="53"/>
      <c r="T47" s="53"/>
      <c r="U47" s="53"/>
      <c r="V47" s="53"/>
      <c r="W47" s="53"/>
      <c r="X47" s="53"/>
      <c r="Y47" s="53"/>
      <c r="Z47" s="53"/>
    </row>
    <row r="48" spans="1:26" s="61" customFormat="1" ht="13.5" customHeight="1" thickBot="1" x14ac:dyDescent="0.3">
      <c r="A48" s="53"/>
      <c r="B48" s="212"/>
      <c r="C48" s="192"/>
      <c r="D48" s="192"/>
      <c r="E48" s="192"/>
      <c r="F48" s="74" t="s">
        <v>75</v>
      </c>
      <c r="G48" s="75">
        <f t="shared" ref="G48" si="38">+E44</f>
        <v>0.47499999999999998</v>
      </c>
      <c r="H48" s="76"/>
      <c r="I48" s="77"/>
      <c r="J48" s="78">
        <v>0.08</v>
      </c>
      <c r="K48" s="192"/>
      <c r="L48" s="192"/>
      <c r="M48" s="192"/>
      <c r="N48" s="192"/>
      <c r="O48" s="192"/>
      <c r="P48" s="197"/>
      <c r="Q48" s="53"/>
      <c r="R48" s="53"/>
      <c r="S48" s="53"/>
      <c r="T48" s="53"/>
      <c r="U48" s="53"/>
      <c r="V48" s="53"/>
      <c r="W48" s="53"/>
      <c r="X48" s="53"/>
      <c r="Y48" s="53"/>
      <c r="Z48" s="53"/>
    </row>
    <row r="49" spans="1:26" s="61" customFormat="1" ht="13.5" customHeight="1" x14ac:dyDescent="0.25">
      <c r="A49" s="53"/>
      <c r="B49" s="210">
        <v>7</v>
      </c>
      <c r="C49" s="213">
        <f t="shared" ref="C49" si="39">+C44+$N$12</f>
        <v>4.3</v>
      </c>
      <c r="D49" s="190">
        <v>0.36299999999999999</v>
      </c>
      <c r="E49" s="190">
        <v>0.44500000000000001</v>
      </c>
      <c r="F49" s="64" t="s">
        <v>71</v>
      </c>
      <c r="G49" s="65">
        <v>0</v>
      </c>
      <c r="H49" s="66"/>
      <c r="I49" s="67"/>
      <c r="J49" s="68">
        <v>2.1000000000000001E-2</v>
      </c>
      <c r="K49" s="190">
        <f t="shared" ref="K49" si="40">+IF(E49&lt;=0.12,(J51),(IF(E49&lt;0.16,((J50+2*J51+J52)/4),IF(E49&gt;=0.16,((J49+3*J50+2*J51+3*J52+J53)/10)))))</f>
        <v>0.125</v>
      </c>
      <c r="L49" s="190">
        <f t="shared" ref="L49" si="41">ROUND(+(D44+D49)/2*(C49-C44),3)</f>
        <v>0.126</v>
      </c>
      <c r="M49" s="190">
        <f t="shared" ref="M49" si="42">ROUND(+K49*L49,4)</f>
        <v>1.5800000000000002E-2</v>
      </c>
      <c r="N49" s="193">
        <f t="shared" ref="N49" si="43">ROUND(+M49/$M$123*100,2)</f>
        <v>5.93</v>
      </c>
      <c r="O49" s="194"/>
      <c r="P49" s="195"/>
      <c r="Q49" s="53"/>
      <c r="R49" s="53"/>
      <c r="S49" s="53"/>
      <c r="T49" s="53"/>
      <c r="U49" s="53"/>
      <c r="V49" s="53"/>
      <c r="W49" s="53"/>
      <c r="X49" s="53"/>
      <c r="Y49" s="53"/>
      <c r="Z49" s="53"/>
    </row>
    <row r="50" spans="1:26" s="61" customFormat="1" ht="13.5" customHeight="1" x14ac:dyDescent="0.25">
      <c r="A50" s="53"/>
      <c r="B50" s="211"/>
      <c r="C50" s="191"/>
      <c r="D50" s="191"/>
      <c r="E50" s="191"/>
      <c r="F50" s="69" t="s">
        <v>72</v>
      </c>
      <c r="G50" s="70">
        <f t="shared" ref="G50" si="44">IF(E49&lt;0.125,"NA",IF(0.125&lt;=E49,(0.2*E49)))</f>
        <v>8.900000000000001E-2</v>
      </c>
      <c r="H50" s="71"/>
      <c r="I50" s="72"/>
      <c r="J50" s="73">
        <v>3.7999999999999999E-2</v>
      </c>
      <c r="K50" s="191"/>
      <c r="L50" s="191"/>
      <c r="M50" s="191"/>
      <c r="N50" s="191"/>
      <c r="O50" s="191"/>
      <c r="P50" s="196"/>
      <c r="Q50" s="53"/>
      <c r="R50" s="53"/>
      <c r="S50" s="53"/>
      <c r="T50" s="53"/>
      <c r="U50" s="53"/>
      <c r="V50" s="53"/>
      <c r="W50" s="53"/>
      <c r="X50" s="53"/>
      <c r="Y50" s="53"/>
      <c r="Z50" s="53"/>
    </row>
    <row r="51" spans="1:26" s="61" customFormat="1" ht="13.5" customHeight="1" x14ac:dyDescent="0.25">
      <c r="A51" s="53"/>
      <c r="B51" s="211"/>
      <c r="C51" s="191"/>
      <c r="D51" s="191"/>
      <c r="E51" s="191"/>
      <c r="F51" s="69" t="s">
        <v>73</v>
      </c>
      <c r="G51" s="70">
        <f t="shared" ref="G51" si="45">+E49*0.4</f>
        <v>0.17800000000000002</v>
      </c>
      <c r="H51" s="71"/>
      <c r="I51" s="72"/>
      <c r="J51" s="73">
        <v>0.158</v>
      </c>
      <c r="K51" s="191"/>
      <c r="L51" s="191"/>
      <c r="M51" s="191"/>
      <c r="N51" s="191"/>
      <c r="O51" s="191"/>
      <c r="P51" s="196"/>
      <c r="Q51" s="53"/>
      <c r="R51" s="53"/>
      <c r="S51" s="53"/>
      <c r="T51" s="53"/>
      <c r="U51" s="53"/>
      <c r="V51" s="53"/>
      <c r="W51" s="53"/>
      <c r="X51" s="53"/>
      <c r="Y51" s="53"/>
      <c r="Z51" s="53"/>
    </row>
    <row r="52" spans="1:26" s="61" customFormat="1" ht="13.5" customHeight="1" x14ac:dyDescent="0.25">
      <c r="A52" s="53"/>
      <c r="B52" s="211"/>
      <c r="C52" s="191"/>
      <c r="D52" s="191"/>
      <c r="E52" s="191"/>
      <c r="F52" s="69" t="s">
        <v>74</v>
      </c>
      <c r="G52" s="70">
        <f t="shared" ref="G52" si="46">IF(E49&lt;0.125,"NA",IF(0.125&lt;=E49,(0.8*E49)))</f>
        <v>0.35600000000000004</v>
      </c>
      <c r="H52" s="71"/>
      <c r="I52" s="72"/>
      <c r="J52" s="73">
        <v>0.182</v>
      </c>
      <c r="K52" s="191"/>
      <c r="L52" s="191"/>
      <c r="M52" s="191"/>
      <c r="N52" s="191"/>
      <c r="O52" s="191"/>
      <c r="P52" s="196"/>
      <c r="Q52" s="53"/>
      <c r="R52" s="53"/>
      <c r="S52" s="53"/>
      <c r="T52" s="53"/>
      <c r="U52" s="53"/>
      <c r="V52" s="53"/>
      <c r="W52" s="53"/>
      <c r="X52" s="53"/>
      <c r="Y52" s="53"/>
      <c r="Z52" s="53"/>
    </row>
    <row r="53" spans="1:26" s="61" customFormat="1" ht="13.5" customHeight="1" thickBot="1" x14ac:dyDescent="0.3">
      <c r="A53" s="53"/>
      <c r="B53" s="212"/>
      <c r="C53" s="192"/>
      <c r="D53" s="192"/>
      <c r="E53" s="192"/>
      <c r="F53" s="74" t="s">
        <v>75</v>
      </c>
      <c r="G53" s="75">
        <f t="shared" ref="G53" si="47">+E49</f>
        <v>0.44500000000000001</v>
      </c>
      <c r="H53" s="76"/>
      <c r="I53" s="77"/>
      <c r="J53" s="78">
        <v>0.253</v>
      </c>
      <c r="K53" s="192"/>
      <c r="L53" s="192"/>
      <c r="M53" s="192"/>
      <c r="N53" s="192"/>
      <c r="O53" s="192"/>
      <c r="P53" s="197"/>
      <c r="Q53" s="53"/>
      <c r="R53" s="53"/>
      <c r="S53" s="53"/>
      <c r="T53" s="53"/>
      <c r="U53" s="53"/>
      <c r="V53" s="53"/>
      <c r="W53" s="53"/>
      <c r="X53" s="53"/>
      <c r="Y53" s="53"/>
      <c r="Z53" s="53"/>
    </row>
    <row r="54" spans="1:26" s="61" customFormat="1" ht="13.5" customHeight="1" x14ac:dyDescent="0.25">
      <c r="A54" s="53"/>
      <c r="B54" s="210">
        <v>8</v>
      </c>
      <c r="C54" s="213">
        <f t="shared" ref="C54" si="48">+C49+$N$12</f>
        <v>4.7</v>
      </c>
      <c r="D54" s="190">
        <v>0.63800000000000001</v>
      </c>
      <c r="E54" s="190">
        <v>0.64</v>
      </c>
      <c r="F54" s="64" t="s">
        <v>71</v>
      </c>
      <c r="G54" s="65">
        <v>0</v>
      </c>
      <c r="H54" s="66"/>
      <c r="I54" s="67"/>
      <c r="J54" s="68">
        <v>1.4E-2</v>
      </c>
      <c r="K54" s="190">
        <f t="shared" ref="K54" si="49">+IF(E54&lt;=0.12,(J56),(IF(E54&lt;0.16,((J55+2*J56+J57)/4),IF(E54&gt;=0.16,((J54+3*J55+2*J56+3*J57+J58)/10)))))</f>
        <v>0.1459</v>
      </c>
      <c r="L54" s="190">
        <f t="shared" ref="L54" si="50">ROUND(+(D49+D54)/2*(C54-C49),3)</f>
        <v>0.2</v>
      </c>
      <c r="M54" s="190">
        <f t="shared" ref="M54" si="51">ROUND(+K54*L54,4)</f>
        <v>2.92E-2</v>
      </c>
      <c r="N54" s="193">
        <f t="shared" ref="N54" si="52">ROUND(+M54/$M$123*100,2)</f>
        <v>10.96</v>
      </c>
      <c r="O54" s="194"/>
      <c r="P54" s="195"/>
      <c r="Q54" s="53"/>
      <c r="R54" s="53"/>
      <c r="S54" s="53"/>
      <c r="T54" s="53"/>
      <c r="U54" s="53"/>
      <c r="V54" s="53"/>
      <c r="W54" s="53"/>
      <c r="X54" s="53"/>
      <c r="Y54" s="53"/>
      <c r="Z54" s="53"/>
    </row>
    <row r="55" spans="1:26" s="61" customFormat="1" ht="13.5" customHeight="1" x14ac:dyDescent="0.25">
      <c r="A55" s="53"/>
      <c r="B55" s="211"/>
      <c r="C55" s="191"/>
      <c r="D55" s="191"/>
      <c r="E55" s="191"/>
      <c r="F55" s="69" t="s">
        <v>72</v>
      </c>
      <c r="G55" s="70">
        <f t="shared" ref="G55" si="53">IF(E54&lt;0.125,"NA",IF(0.125&lt;=E54,(0.2*E54)))</f>
        <v>0.128</v>
      </c>
      <c r="H55" s="71"/>
      <c r="I55" s="72"/>
      <c r="J55" s="73">
        <v>0.04</v>
      </c>
      <c r="K55" s="191"/>
      <c r="L55" s="191"/>
      <c r="M55" s="191"/>
      <c r="N55" s="191"/>
      <c r="O55" s="191"/>
      <c r="P55" s="196"/>
      <c r="Q55" s="53"/>
      <c r="R55" s="53"/>
      <c r="S55" s="53"/>
      <c r="T55" s="53"/>
      <c r="U55" s="53"/>
      <c r="V55" s="53"/>
      <c r="W55" s="53"/>
      <c r="X55" s="53"/>
      <c r="Y55" s="53"/>
      <c r="Z55" s="53"/>
    </row>
    <row r="56" spans="1:26" s="61" customFormat="1" ht="13.5" customHeight="1" x14ac:dyDescent="0.25">
      <c r="A56" s="53"/>
      <c r="B56" s="211"/>
      <c r="C56" s="191"/>
      <c r="D56" s="191"/>
      <c r="E56" s="191"/>
      <c r="F56" s="69" t="s">
        <v>73</v>
      </c>
      <c r="G56" s="70">
        <f t="shared" ref="G56" si="54">+E54*0.4</f>
        <v>0.25600000000000001</v>
      </c>
      <c r="H56" s="71"/>
      <c r="I56" s="72"/>
      <c r="J56" s="73">
        <v>0.17</v>
      </c>
      <c r="K56" s="191"/>
      <c r="L56" s="191"/>
      <c r="M56" s="191"/>
      <c r="N56" s="191"/>
      <c r="O56" s="191"/>
      <c r="P56" s="196"/>
      <c r="Q56" s="53"/>
      <c r="R56" s="53"/>
      <c r="S56" s="53"/>
      <c r="T56" s="53"/>
      <c r="U56" s="53"/>
      <c r="V56" s="53"/>
      <c r="W56" s="53"/>
      <c r="X56" s="53"/>
      <c r="Y56" s="53"/>
      <c r="Z56" s="53"/>
    </row>
    <row r="57" spans="1:26" s="61" customFormat="1" ht="13.5" customHeight="1" x14ac:dyDescent="0.25">
      <c r="A57" s="53"/>
      <c r="B57" s="211"/>
      <c r="C57" s="191"/>
      <c r="D57" s="191"/>
      <c r="E57" s="191"/>
      <c r="F57" s="69" t="s">
        <v>74</v>
      </c>
      <c r="G57" s="70">
        <f t="shared" ref="G57" si="55">IF(E54&lt;0.125,"NA",IF(0.125&lt;=E54,(0.8*E54)))</f>
        <v>0.51200000000000001</v>
      </c>
      <c r="H57" s="71"/>
      <c r="I57" s="72"/>
      <c r="J57" s="73">
        <v>0.247</v>
      </c>
      <c r="K57" s="191"/>
      <c r="L57" s="191"/>
      <c r="M57" s="191"/>
      <c r="N57" s="191"/>
      <c r="O57" s="191"/>
      <c r="P57" s="196"/>
      <c r="Q57" s="53"/>
      <c r="R57" s="53"/>
      <c r="S57" s="53"/>
      <c r="T57" s="53"/>
      <c r="U57" s="53"/>
      <c r="V57" s="53"/>
      <c r="W57" s="53"/>
      <c r="X57" s="53"/>
      <c r="Y57" s="53"/>
      <c r="Z57" s="53"/>
    </row>
    <row r="58" spans="1:26" s="61" customFormat="1" ht="13.5" customHeight="1" thickBot="1" x14ac:dyDescent="0.3">
      <c r="A58" s="53"/>
      <c r="B58" s="212"/>
      <c r="C58" s="192"/>
      <c r="D58" s="192"/>
      <c r="E58" s="192"/>
      <c r="F58" s="74" t="s">
        <v>75</v>
      </c>
      <c r="G58" s="75">
        <f t="shared" ref="G58" si="56">+E54</f>
        <v>0.64</v>
      </c>
      <c r="H58" s="76"/>
      <c r="I58" s="77"/>
      <c r="J58" s="78">
        <v>0.24399999999999999</v>
      </c>
      <c r="K58" s="192"/>
      <c r="L58" s="192"/>
      <c r="M58" s="192"/>
      <c r="N58" s="192"/>
      <c r="O58" s="192"/>
      <c r="P58" s="197"/>
      <c r="Q58" s="53"/>
      <c r="R58" s="53"/>
      <c r="S58" s="53"/>
      <c r="T58" s="53"/>
      <c r="U58" s="53"/>
      <c r="V58" s="53"/>
      <c r="W58" s="53"/>
      <c r="X58" s="53"/>
      <c r="Y58" s="53"/>
      <c r="Z58" s="53"/>
    </row>
    <row r="59" spans="1:26" s="61" customFormat="1" ht="13.5" customHeight="1" x14ac:dyDescent="0.25">
      <c r="A59" s="53"/>
      <c r="B59" s="210">
        <v>9</v>
      </c>
      <c r="C59" s="213">
        <f t="shared" ref="C59" si="57">+C54+$N$12</f>
        <v>5.1000000000000005</v>
      </c>
      <c r="D59" s="190">
        <v>0.60799999999999998</v>
      </c>
      <c r="E59" s="190">
        <v>0.66500000000000004</v>
      </c>
      <c r="F59" s="64" t="s">
        <v>71</v>
      </c>
      <c r="G59" s="65">
        <v>0</v>
      </c>
      <c r="H59" s="66"/>
      <c r="I59" s="67"/>
      <c r="J59" s="68"/>
      <c r="K59" s="190"/>
      <c r="L59" s="190"/>
      <c r="M59" s="190"/>
      <c r="N59" s="193"/>
      <c r="O59" s="194"/>
      <c r="P59" s="195"/>
      <c r="Q59" s="53"/>
      <c r="R59" s="53"/>
      <c r="S59" s="53"/>
      <c r="T59" s="53"/>
      <c r="U59" s="53"/>
      <c r="V59" s="53"/>
      <c r="W59" s="53"/>
      <c r="X59" s="53"/>
      <c r="Y59" s="53"/>
      <c r="Z59" s="53"/>
    </row>
    <row r="60" spans="1:26" s="61" customFormat="1" ht="13.5" customHeight="1" x14ac:dyDescent="0.25">
      <c r="A60" s="53"/>
      <c r="B60" s="211"/>
      <c r="C60" s="191"/>
      <c r="D60" s="191"/>
      <c r="E60" s="191"/>
      <c r="F60" s="69" t="s">
        <v>72</v>
      </c>
      <c r="G60" s="70">
        <f t="shared" ref="G60" si="58">IF(E59&lt;0.125,"NA",IF(0.125&lt;=E59,(0.2*E59)))</f>
        <v>0.13300000000000001</v>
      </c>
      <c r="H60" s="71"/>
      <c r="I60" s="72"/>
      <c r="J60" s="73"/>
      <c r="K60" s="191"/>
      <c r="L60" s="191"/>
      <c r="M60" s="191"/>
      <c r="N60" s="191"/>
      <c r="O60" s="191"/>
      <c r="P60" s="196"/>
      <c r="Q60" s="53"/>
      <c r="R60" s="53"/>
      <c r="S60" s="53"/>
      <c r="T60" s="53"/>
      <c r="U60" s="53"/>
      <c r="V60" s="53"/>
      <c r="W60" s="53"/>
      <c r="X60" s="53"/>
      <c r="Y60" s="53"/>
      <c r="Z60" s="53"/>
    </row>
    <row r="61" spans="1:26" s="61" customFormat="1" ht="13.5" customHeight="1" x14ac:dyDescent="0.25">
      <c r="A61" s="53"/>
      <c r="B61" s="211"/>
      <c r="C61" s="191"/>
      <c r="D61" s="191"/>
      <c r="E61" s="191"/>
      <c r="F61" s="69" t="s">
        <v>73</v>
      </c>
      <c r="G61" s="70">
        <f t="shared" ref="G61" si="59">+E59*0.4</f>
        <v>0.26600000000000001</v>
      </c>
      <c r="H61" s="71"/>
      <c r="I61" s="72"/>
      <c r="J61" s="73"/>
      <c r="K61" s="191"/>
      <c r="L61" s="191"/>
      <c r="M61" s="191"/>
      <c r="N61" s="191"/>
      <c r="O61" s="191"/>
      <c r="P61" s="196"/>
      <c r="Q61" s="53"/>
      <c r="R61" s="53"/>
      <c r="S61" s="53"/>
      <c r="T61" s="53"/>
      <c r="U61" s="53"/>
      <c r="V61" s="53"/>
      <c r="W61" s="53"/>
      <c r="X61" s="53"/>
      <c r="Y61" s="53"/>
      <c r="Z61" s="53"/>
    </row>
    <row r="62" spans="1:26" s="61" customFormat="1" ht="13.5" customHeight="1" x14ac:dyDescent="0.25">
      <c r="A62" s="53"/>
      <c r="B62" s="211"/>
      <c r="C62" s="191"/>
      <c r="D62" s="191"/>
      <c r="E62" s="191"/>
      <c r="F62" s="69" t="s">
        <v>74</v>
      </c>
      <c r="G62" s="70">
        <f t="shared" ref="G62" si="60">IF(E59&lt;0.125,"NA",IF(0.125&lt;=E59,(0.8*E59)))</f>
        <v>0.53200000000000003</v>
      </c>
      <c r="H62" s="71"/>
      <c r="I62" s="72"/>
      <c r="J62" s="73"/>
      <c r="K62" s="191"/>
      <c r="L62" s="191"/>
      <c r="M62" s="191"/>
      <c r="N62" s="191"/>
      <c r="O62" s="191"/>
      <c r="P62" s="196"/>
      <c r="Q62" s="53"/>
      <c r="R62" s="53"/>
      <c r="S62" s="53"/>
      <c r="T62" s="53"/>
      <c r="U62" s="53"/>
      <c r="V62" s="53"/>
      <c r="W62" s="53"/>
      <c r="X62" s="53"/>
      <c r="Y62" s="53"/>
      <c r="Z62" s="53"/>
    </row>
    <row r="63" spans="1:26" s="61" customFormat="1" ht="13.5" customHeight="1" thickBot="1" x14ac:dyDescent="0.3">
      <c r="A63" s="53"/>
      <c r="B63" s="212"/>
      <c r="C63" s="192"/>
      <c r="D63" s="192"/>
      <c r="E63" s="192"/>
      <c r="F63" s="74" t="s">
        <v>75</v>
      </c>
      <c r="G63" s="75">
        <f t="shared" ref="G63" si="61">+E59</f>
        <v>0.66500000000000004</v>
      </c>
      <c r="H63" s="76"/>
      <c r="I63" s="77"/>
      <c r="J63" s="78"/>
      <c r="K63" s="192"/>
      <c r="L63" s="192"/>
      <c r="M63" s="192"/>
      <c r="N63" s="192"/>
      <c r="O63" s="192"/>
      <c r="P63" s="197"/>
      <c r="Q63" s="53"/>
      <c r="R63" s="53"/>
      <c r="S63" s="53"/>
      <c r="T63" s="53"/>
      <c r="U63" s="53"/>
      <c r="V63" s="53"/>
      <c r="W63" s="53"/>
      <c r="X63" s="53"/>
      <c r="Y63" s="53"/>
      <c r="Z63" s="53"/>
    </row>
    <row r="64" spans="1:26" s="61" customFormat="1" ht="13.5" customHeight="1" x14ac:dyDescent="0.25">
      <c r="A64" s="53"/>
      <c r="B64" s="210">
        <v>10</v>
      </c>
      <c r="C64" s="213">
        <f t="shared" ref="C64" si="62">+C59+$N$12</f>
        <v>5.5000000000000009</v>
      </c>
      <c r="D64" s="190">
        <v>0.56000000000000005</v>
      </c>
      <c r="E64" s="190">
        <v>0.54100000000000004</v>
      </c>
      <c r="F64" s="64" t="s">
        <v>71</v>
      </c>
      <c r="G64" s="65">
        <v>0</v>
      </c>
      <c r="H64" s="66"/>
      <c r="I64" s="67"/>
      <c r="J64" s="68">
        <v>0.11700000000000001</v>
      </c>
      <c r="K64" s="190">
        <f>+IF(E64&lt;=0.12,(J66),(IF(E64&lt;0.16,((J65+2*J66+J67)/4),IF(E64&gt;=0.16,((J64+3*J65+2*J66+3*J67+J68)/10)))))</f>
        <v>0.20169000000000001</v>
      </c>
      <c r="L64" s="190">
        <f>ROUND(+(D59+D64)/2*(C64-C59),3)</f>
        <v>0.23400000000000001</v>
      </c>
      <c r="M64" s="190">
        <f>ROUND(+K64*L64,4)</f>
        <v>4.7199999999999999E-2</v>
      </c>
      <c r="N64" s="193">
        <f>ROUND(+M64/$M$123*100,2)</f>
        <v>17.72</v>
      </c>
      <c r="O64" s="194"/>
      <c r="P64" s="195"/>
      <c r="Q64" s="53"/>
      <c r="R64" s="53"/>
      <c r="S64" s="53"/>
      <c r="T64" s="53"/>
      <c r="U64" s="53"/>
      <c r="V64" s="53"/>
      <c r="W64" s="53"/>
      <c r="X64" s="53"/>
      <c r="Y64" s="53"/>
      <c r="Z64" s="53"/>
    </row>
    <row r="65" spans="1:26" s="61" customFormat="1" ht="13.5" customHeight="1" x14ac:dyDescent="0.25">
      <c r="A65" s="53"/>
      <c r="B65" s="211"/>
      <c r="C65" s="191"/>
      <c r="D65" s="191"/>
      <c r="E65" s="191"/>
      <c r="F65" s="69" t="s">
        <v>72</v>
      </c>
      <c r="G65" s="70">
        <f>IF(E64&lt;0.125,"NA",IF(0.125&lt;=E64,(0.2*E64)))</f>
        <v>0.10820000000000002</v>
      </c>
      <c r="H65" s="71"/>
      <c r="I65" s="72"/>
      <c r="J65" s="73">
        <v>0.16650000000000001</v>
      </c>
      <c r="K65" s="191"/>
      <c r="L65" s="191"/>
      <c r="M65" s="191"/>
      <c r="N65" s="191"/>
      <c r="O65" s="191"/>
      <c r="P65" s="196"/>
      <c r="Q65" s="53"/>
      <c r="R65" s="53"/>
      <c r="S65" s="53"/>
      <c r="T65" s="53"/>
      <c r="U65" s="53"/>
      <c r="V65" s="53"/>
      <c r="W65" s="53"/>
      <c r="X65" s="53"/>
      <c r="Y65" s="53"/>
      <c r="Z65" s="53"/>
    </row>
    <row r="66" spans="1:26" s="61" customFormat="1" ht="13.5" customHeight="1" x14ac:dyDescent="0.25">
      <c r="A66" s="53"/>
      <c r="B66" s="211"/>
      <c r="C66" s="191"/>
      <c r="D66" s="191"/>
      <c r="E66" s="191"/>
      <c r="F66" s="69" t="s">
        <v>73</v>
      </c>
      <c r="G66" s="70">
        <f>+E64*0.4</f>
        <v>0.21640000000000004</v>
      </c>
      <c r="H66" s="71"/>
      <c r="I66" s="72"/>
      <c r="J66" s="73">
        <v>0.10979999999999999</v>
      </c>
      <c r="K66" s="191"/>
      <c r="L66" s="191"/>
      <c r="M66" s="191"/>
      <c r="N66" s="191"/>
      <c r="O66" s="191"/>
      <c r="P66" s="196"/>
      <c r="Q66" s="53"/>
      <c r="R66" s="53"/>
      <c r="S66" s="53"/>
      <c r="T66" s="53"/>
      <c r="U66" s="53"/>
      <c r="V66" s="53"/>
      <c r="W66" s="53"/>
      <c r="X66" s="53"/>
      <c r="Y66" s="53"/>
      <c r="Z66" s="53"/>
    </row>
    <row r="67" spans="1:26" s="61" customFormat="1" ht="13.5" customHeight="1" x14ac:dyDescent="0.25">
      <c r="A67" s="53"/>
      <c r="B67" s="211"/>
      <c r="C67" s="191"/>
      <c r="D67" s="191"/>
      <c r="E67" s="191"/>
      <c r="F67" s="69" t="s">
        <v>74</v>
      </c>
      <c r="G67" s="70">
        <f>IF(E64&lt;0.125,"NA",IF(0.125&lt;=E64,(0.8*E64)))</f>
        <v>0.43280000000000007</v>
      </c>
      <c r="H67" s="71"/>
      <c r="I67" s="72"/>
      <c r="J67" s="73">
        <v>0.28620000000000001</v>
      </c>
      <c r="K67" s="191"/>
      <c r="L67" s="191"/>
      <c r="M67" s="191"/>
      <c r="N67" s="191"/>
      <c r="O67" s="191"/>
      <c r="P67" s="196"/>
      <c r="Q67" s="53"/>
      <c r="R67" s="53"/>
      <c r="S67" s="53"/>
      <c r="T67" s="53"/>
      <c r="U67" s="53"/>
      <c r="V67" s="53"/>
      <c r="W67" s="53"/>
      <c r="X67" s="53"/>
      <c r="Y67" s="53"/>
      <c r="Z67" s="53"/>
    </row>
    <row r="68" spans="1:26" s="61" customFormat="1" ht="13.5" customHeight="1" thickBot="1" x14ac:dyDescent="0.3">
      <c r="A68" s="53"/>
      <c r="B68" s="212"/>
      <c r="C68" s="192"/>
      <c r="D68" s="192"/>
      <c r="E68" s="192"/>
      <c r="F68" s="74" t="s">
        <v>75</v>
      </c>
      <c r="G68" s="75">
        <f>+E64</f>
        <v>0.54100000000000004</v>
      </c>
      <c r="H68" s="76"/>
      <c r="I68" s="77"/>
      <c r="J68" s="78">
        <v>0.32219999999999999</v>
      </c>
      <c r="K68" s="192"/>
      <c r="L68" s="192"/>
      <c r="M68" s="192"/>
      <c r="N68" s="192"/>
      <c r="O68" s="192"/>
      <c r="P68" s="197"/>
      <c r="Q68" s="53"/>
      <c r="R68" s="53"/>
      <c r="S68" s="53"/>
      <c r="T68" s="53"/>
      <c r="U68" s="53"/>
      <c r="V68" s="53"/>
      <c r="W68" s="53"/>
      <c r="X68" s="53"/>
      <c r="Y68" s="53"/>
      <c r="Z68" s="53"/>
    </row>
    <row r="69" spans="1:26" s="61" customFormat="1" ht="13.5" customHeight="1" x14ac:dyDescent="0.25">
      <c r="A69" s="53"/>
      <c r="B69" s="210">
        <v>11</v>
      </c>
      <c r="C69" s="213">
        <f t="shared" ref="C69" si="63">+C64+$N$12</f>
        <v>5.9000000000000012</v>
      </c>
      <c r="D69" s="190">
        <v>0.51500000000000001</v>
      </c>
      <c r="E69" s="190">
        <v>0.59299999999999997</v>
      </c>
      <c r="F69" s="64" t="s">
        <v>71</v>
      </c>
      <c r="G69" s="65">
        <v>0</v>
      </c>
      <c r="H69" s="66"/>
      <c r="I69" s="67"/>
      <c r="J69" s="68">
        <v>1.2999999999999999E-2</v>
      </c>
      <c r="K69" s="190">
        <f t="shared" ref="K69" si="64">+IF(E69&lt;=0.12,(J71),(IF(E69&lt;0.16,((J70+2*J71+J72)/4),IF(E69&gt;=0.16,((J69+3*J70+2*J71+3*J72+J73)/10)))))</f>
        <v>0.1331</v>
      </c>
      <c r="L69" s="190">
        <f t="shared" ref="L69" si="65">ROUND(+(D64+D69)/2*(C69-C64),3)</f>
        <v>0.215</v>
      </c>
      <c r="M69" s="190">
        <f t="shared" ref="M69" si="66">ROUND(+K69*L69,4)</f>
        <v>2.86E-2</v>
      </c>
      <c r="N69" s="193">
        <f t="shared" ref="N69" si="67">ROUND(+M69/$M$123*100,2)</f>
        <v>10.74</v>
      </c>
      <c r="O69" s="194"/>
      <c r="P69" s="195"/>
      <c r="Q69" s="53"/>
      <c r="R69" s="53"/>
      <c r="S69" s="53"/>
      <c r="T69" s="53"/>
      <c r="U69" s="53"/>
      <c r="V69" s="53"/>
      <c r="W69" s="53"/>
      <c r="X69" s="53"/>
      <c r="Y69" s="53"/>
      <c r="Z69" s="53"/>
    </row>
    <row r="70" spans="1:26" s="61" customFormat="1" ht="13.5" customHeight="1" x14ac:dyDescent="0.25">
      <c r="A70" s="53"/>
      <c r="B70" s="211"/>
      <c r="C70" s="191"/>
      <c r="D70" s="191"/>
      <c r="E70" s="191"/>
      <c r="F70" s="69" t="s">
        <v>72</v>
      </c>
      <c r="G70" s="70">
        <f t="shared" ref="G70" si="68">IF(E69&lt;0.125,"NA",IF(0.125&lt;=E69,(0.2*E69)))</f>
        <v>0.1186</v>
      </c>
      <c r="H70" s="71"/>
      <c r="I70" s="72"/>
      <c r="J70" s="73">
        <v>2.1000000000000001E-2</v>
      </c>
      <c r="K70" s="191"/>
      <c r="L70" s="191"/>
      <c r="M70" s="191"/>
      <c r="N70" s="191"/>
      <c r="O70" s="191"/>
      <c r="P70" s="196"/>
      <c r="Q70" s="53"/>
      <c r="R70" s="53"/>
      <c r="S70" s="53"/>
      <c r="T70" s="53"/>
      <c r="U70" s="53"/>
      <c r="V70" s="53"/>
      <c r="W70" s="53"/>
      <c r="X70" s="53"/>
      <c r="Y70" s="53"/>
      <c r="Z70" s="53"/>
    </row>
    <row r="71" spans="1:26" s="61" customFormat="1" ht="13.5" customHeight="1" x14ac:dyDescent="0.25">
      <c r="A71" s="53"/>
      <c r="B71" s="211"/>
      <c r="C71" s="191"/>
      <c r="D71" s="191"/>
      <c r="E71" s="191"/>
      <c r="F71" s="69" t="s">
        <v>73</v>
      </c>
      <c r="G71" s="70">
        <f t="shared" ref="G71" si="69">+E69*0.4</f>
        <v>0.23719999999999999</v>
      </c>
      <c r="H71" s="71"/>
      <c r="I71" s="72"/>
      <c r="J71" s="73">
        <v>0.23300000000000001</v>
      </c>
      <c r="K71" s="191"/>
      <c r="L71" s="191"/>
      <c r="M71" s="191"/>
      <c r="N71" s="191"/>
      <c r="O71" s="191"/>
      <c r="P71" s="196"/>
      <c r="Q71" s="53"/>
      <c r="R71" s="53"/>
      <c r="S71" s="53"/>
      <c r="T71" s="53"/>
      <c r="U71" s="53"/>
      <c r="V71" s="53"/>
      <c r="W71" s="53"/>
      <c r="X71" s="53"/>
      <c r="Y71" s="53"/>
      <c r="Z71" s="53"/>
    </row>
    <row r="72" spans="1:26" s="61" customFormat="1" ht="13.5" customHeight="1" x14ac:dyDescent="0.25">
      <c r="A72" s="53"/>
      <c r="B72" s="211"/>
      <c r="C72" s="191"/>
      <c r="D72" s="191"/>
      <c r="E72" s="191"/>
      <c r="F72" s="69" t="s">
        <v>74</v>
      </c>
      <c r="G72" s="70">
        <f t="shared" ref="G72" si="70">IF(E69&lt;0.125,"NA",IF(0.125&lt;=E69,(0.8*E69)))</f>
        <v>0.47439999999999999</v>
      </c>
      <c r="H72" s="71"/>
      <c r="I72" s="72"/>
      <c r="J72" s="73">
        <v>0.20100000000000001</v>
      </c>
      <c r="K72" s="191"/>
      <c r="L72" s="191"/>
      <c r="M72" s="191"/>
      <c r="N72" s="191"/>
      <c r="O72" s="191"/>
      <c r="P72" s="196"/>
      <c r="Q72" s="53"/>
      <c r="R72" s="53"/>
      <c r="S72" s="53"/>
      <c r="T72" s="53"/>
      <c r="U72" s="53"/>
      <c r="V72" s="53"/>
      <c r="W72" s="53"/>
      <c r="X72" s="53"/>
      <c r="Y72" s="53"/>
      <c r="Z72" s="53"/>
    </row>
    <row r="73" spans="1:26" s="61" customFormat="1" ht="13.5" customHeight="1" thickBot="1" x14ac:dyDescent="0.3">
      <c r="A73" s="53"/>
      <c r="B73" s="212"/>
      <c r="C73" s="192"/>
      <c r="D73" s="192"/>
      <c r="E73" s="192"/>
      <c r="F73" s="74" t="s">
        <v>75</v>
      </c>
      <c r="G73" s="75">
        <f t="shared" ref="G73" si="71">+E69</f>
        <v>0.59299999999999997</v>
      </c>
      <c r="H73" s="76"/>
      <c r="I73" s="77"/>
      <c r="J73" s="78">
        <v>0.186</v>
      </c>
      <c r="K73" s="192"/>
      <c r="L73" s="192"/>
      <c r="M73" s="192"/>
      <c r="N73" s="192"/>
      <c r="O73" s="192"/>
      <c r="P73" s="197"/>
      <c r="Q73" s="53"/>
      <c r="R73" s="53"/>
      <c r="S73" s="53"/>
      <c r="T73" s="53"/>
      <c r="U73" s="53"/>
      <c r="V73" s="53"/>
      <c r="W73" s="53"/>
      <c r="X73" s="53"/>
      <c r="Y73" s="53"/>
      <c r="Z73" s="53"/>
    </row>
    <row r="74" spans="1:26" s="61" customFormat="1" ht="13.5" customHeight="1" x14ac:dyDescent="0.25">
      <c r="A74" s="53"/>
      <c r="B74" s="210">
        <v>12</v>
      </c>
      <c r="C74" s="213">
        <f t="shared" ref="C74" si="72">+C69+$N$12</f>
        <v>6.3000000000000016</v>
      </c>
      <c r="D74" s="190">
        <v>0.51</v>
      </c>
      <c r="E74" s="190">
        <v>0.58099999999999996</v>
      </c>
      <c r="F74" s="64" t="s">
        <v>71</v>
      </c>
      <c r="G74" s="65">
        <v>0</v>
      </c>
      <c r="H74" s="66"/>
      <c r="I74" s="67"/>
      <c r="J74" s="68">
        <v>5.8099999999999999E-2</v>
      </c>
      <c r="K74" s="190">
        <f t="shared" ref="K74" si="73">+IF(E74&lt;=0.12,(J76),(IF(E74&lt;0.16,((J75+2*J76+J77)/4),IF(E74&gt;=0.16,((J74+3*J75+2*J76+3*J77+J78)/10)))))</f>
        <v>6.6909999999999997E-2</v>
      </c>
      <c r="L74" s="190">
        <f t="shared" ref="L74" si="74">ROUND(+(D69+D74)/2*(C74-C69),3)</f>
        <v>0.20499999999999999</v>
      </c>
      <c r="M74" s="190">
        <f t="shared" ref="M74" si="75">ROUND(+K74*L74,4)</f>
        <v>1.37E-2</v>
      </c>
      <c r="N74" s="193">
        <f t="shared" ref="N74" si="76">ROUND(+M74/$M$123*100,2)</f>
        <v>5.14</v>
      </c>
      <c r="O74" s="194"/>
      <c r="P74" s="195"/>
      <c r="Q74" s="53"/>
      <c r="R74" s="53"/>
      <c r="S74" s="53"/>
      <c r="T74" s="53"/>
      <c r="U74" s="53"/>
      <c r="V74" s="53"/>
      <c r="W74" s="53"/>
      <c r="X74" s="53"/>
      <c r="Y74" s="53"/>
      <c r="Z74" s="53"/>
    </row>
    <row r="75" spans="1:26" s="61" customFormat="1" ht="13.5" customHeight="1" x14ac:dyDescent="0.25">
      <c r="A75" s="53"/>
      <c r="B75" s="211"/>
      <c r="C75" s="191"/>
      <c r="D75" s="191"/>
      <c r="E75" s="191"/>
      <c r="F75" s="69" t="s">
        <v>72</v>
      </c>
      <c r="G75" s="70">
        <f t="shared" ref="G75" si="77">IF(E74&lt;0.125,"NA",IF(0.125&lt;=E74,(0.2*E74)))</f>
        <v>0.1162</v>
      </c>
      <c r="H75" s="71"/>
      <c r="I75" s="72"/>
      <c r="J75" s="73">
        <v>6.2199999999999998E-2</v>
      </c>
      <c r="K75" s="191"/>
      <c r="L75" s="191"/>
      <c r="M75" s="191"/>
      <c r="N75" s="191"/>
      <c r="O75" s="191"/>
      <c r="P75" s="196"/>
      <c r="Q75" s="53"/>
      <c r="R75" s="53"/>
      <c r="S75" s="53"/>
      <c r="T75" s="53"/>
      <c r="U75" s="53"/>
      <c r="V75" s="53"/>
      <c r="W75" s="53"/>
      <c r="X75" s="53"/>
      <c r="Y75" s="53"/>
      <c r="Z75" s="53"/>
    </row>
    <row r="76" spans="1:26" s="61" customFormat="1" ht="13.5" customHeight="1" x14ac:dyDescent="0.25">
      <c r="A76" s="53"/>
      <c r="B76" s="211"/>
      <c r="C76" s="191"/>
      <c r="D76" s="191"/>
      <c r="E76" s="191"/>
      <c r="F76" s="69" t="s">
        <v>73</v>
      </c>
      <c r="G76" s="70">
        <f t="shared" ref="G76" si="78">+E74*0.4</f>
        <v>0.2324</v>
      </c>
      <c r="H76" s="71"/>
      <c r="I76" s="72"/>
      <c r="J76" s="73">
        <v>5.0299999999999997E-2</v>
      </c>
      <c r="K76" s="191"/>
      <c r="L76" s="191"/>
      <c r="M76" s="191"/>
      <c r="N76" s="191"/>
      <c r="O76" s="191"/>
      <c r="P76" s="196"/>
      <c r="Q76" s="53"/>
      <c r="R76" s="53"/>
      <c r="S76" s="53"/>
      <c r="T76" s="53"/>
      <c r="U76" s="53"/>
      <c r="V76" s="53"/>
      <c r="W76" s="53"/>
      <c r="X76" s="53"/>
      <c r="Y76" s="53"/>
      <c r="Z76" s="53"/>
    </row>
    <row r="77" spans="1:26" s="61" customFormat="1" ht="13.5" customHeight="1" x14ac:dyDescent="0.25">
      <c r="A77" s="53"/>
      <c r="B77" s="211"/>
      <c r="C77" s="191"/>
      <c r="D77" s="191"/>
      <c r="E77" s="191"/>
      <c r="F77" s="69" t="s">
        <v>74</v>
      </c>
      <c r="G77" s="70">
        <f t="shared" ref="G77" si="79">IF(E74&lt;0.125,"NA",IF(0.125&lt;=E74,(0.8*E74)))</f>
        <v>0.46479999999999999</v>
      </c>
      <c r="H77" s="71"/>
      <c r="I77" s="72"/>
      <c r="J77" s="73">
        <v>7.2800000000000004E-2</v>
      </c>
      <c r="K77" s="191"/>
      <c r="L77" s="191"/>
      <c r="M77" s="191"/>
      <c r="N77" s="191"/>
      <c r="O77" s="191"/>
      <c r="P77" s="196"/>
      <c r="Q77" s="53"/>
      <c r="R77" s="53"/>
      <c r="S77" s="53"/>
      <c r="T77" s="53"/>
      <c r="U77" s="53"/>
      <c r="V77" s="53"/>
      <c r="W77" s="53"/>
      <c r="X77" s="53"/>
      <c r="Y77" s="53"/>
      <c r="Z77" s="53"/>
    </row>
    <row r="78" spans="1:26" s="61" customFormat="1" ht="13.5" customHeight="1" thickBot="1" x14ac:dyDescent="0.3">
      <c r="A78" s="53"/>
      <c r="B78" s="212"/>
      <c r="C78" s="192"/>
      <c r="D78" s="192"/>
      <c r="E78" s="192"/>
      <c r="F78" s="74" t="s">
        <v>75</v>
      </c>
      <c r="G78" s="75">
        <f t="shared" ref="G78" si="80">+E74</f>
        <v>0.58099999999999996</v>
      </c>
      <c r="H78" s="76"/>
      <c r="I78" s="77"/>
      <c r="J78" s="78">
        <v>0.10539999999999999</v>
      </c>
      <c r="K78" s="192"/>
      <c r="L78" s="192"/>
      <c r="M78" s="192"/>
      <c r="N78" s="192"/>
      <c r="O78" s="192"/>
      <c r="P78" s="197"/>
      <c r="Q78" s="53"/>
      <c r="R78" s="53"/>
      <c r="S78" s="53"/>
      <c r="T78" s="53"/>
      <c r="U78" s="53"/>
      <c r="V78" s="53"/>
      <c r="W78" s="53"/>
      <c r="X78" s="53"/>
      <c r="Y78" s="53"/>
      <c r="Z78" s="53"/>
    </row>
    <row r="79" spans="1:26" s="61" customFormat="1" ht="13.5" customHeight="1" x14ac:dyDescent="0.25">
      <c r="A79" s="53"/>
      <c r="B79" s="210">
        <v>13</v>
      </c>
      <c r="C79" s="213">
        <f t="shared" ref="C79" si="81">+C74+$N$12</f>
        <v>6.700000000000002</v>
      </c>
      <c r="D79" s="190">
        <v>0.55500000000000005</v>
      </c>
      <c r="E79" s="190">
        <v>0.56499999999999995</v>
      </c>
      <c r="F79" s="64" t="s">
        <v>71</v>
      </c>
      <c r="G79" s="65">
        <v>0</v>
      </c>
      <c r="H79" s="66"/>
      <c r="I79" s="67"/>
      <c r="J79" s="68">
        <v>2.6800000000000001E-2</v>
      </c>
      <c r="K79" s="190">
        <f t="shared" ref="K79" si="82">+IF(E79&lt;=0.12,(J81),(IF(E79&lt;0.16,((J80+2*J81+J82)/4),IF(E79&gt;=0.16,((J79+3*J80+2*J81+3*J82+J83)/10)))))</f>
        <v>6.3189999999999996E-2</v>
      </c>
      <c r="L79" s="190">
        <f t="shared" ref="L79" si="83">ROUND(+(D74+D79)/2*(C79-C74),3)</f>
        <v>0.21299999999999999</v>
      </c>
      <c r="M79" s="190">
        <f t="shared" ref="M79" si="84">ROUND(+K79*L79,4)</f>
        <v>1.35E-2</v>
      </c>
      <c r="N79" s="193">
        <f t="shared" ref="N79" si="85">ROUND(+M79/$M$123*100,2)</f>
        <v>5.07</v>
      </c>
      <c r="O79" s="194"/>
      <c r="P79" s="195"/>
      <c r="Q79" s="53"/>
      <c r="R79" s="53"/>
      <c r="S79" s="53"/>
      <c r="T79" s="53"/>
      <c r="U79" s="53"/>
      <c r="V79" s="53"/>
      <c r="W79" s="53"/>
      <c r="X79" s="53"/>
      <c r="Y79" s="53"/>
      <c r="Z79" s="53"/>
    </row>
    <row r="80" spans="1:26" s="61" customFormat="1" ht="13.5" customHeight="1" x14ac:dyDescent="0.25">
      <c r="A80" s="53"/>
      <c r="B80" s="211"/>
      <c r="C80" s="191"/>
      <c r="D80" s="191"/>
      <c r="E80" s="191"/>
      <c r="F80" s="69" t="s">
        <v>72</v>
      </c>
      <c r="G80" s="70">
        <f t="shared" ref="G80" si="86">IF(E79&lt;0.125,"NA",IF(0.125&lt;=E79,(0.2*E79)))</f>
        <v>0.11299999999999999</v>
      </c>
      <c r="H80" s="71"/>
      <c r="I80" s="72"/>
      <c r="J80" s="73">
        <v>7.3300000000000004E-2</v>
      </c>
      <c r="K80" s="191"/>
      <c r="L80" s="191"/>
      <c r="M80" s="191"/>
      <c r="N80" s="191"/>
      <c r="O80" s="191"/>
      <c r="P80" s="196"/>
      <c r="Q80" s="53"/>
      <c r="R80" s="53"/>
      <c r="S80" s="53"/>
      <c r="T80" s="53"/>
      <c r="U80" s="53"/>
      <c r="V80" s="53"/>
      <c r="W80" s="53"/>
      <c r="X80" s="53"/>
      <c r="Y80" s="53"/>
      <c r="Z80" s="53"/>
    </row>
    <row r="81" spans="1:26" s="61" customFormat="1" ht="13.5" customHeight="1" x14ac:dyDescent="0.25">
      <c r="A81" s="53"/>
      <c r="B81" s="211"/>
      <c r="C81" s="191"/>
      <c r="D81" s="191"/>
      <c r="E81" s="191"/>
      <c r="F81" s="69" t="s">
        <v>73</v>
      </c>
      <c r="G81" s="70">
        <f t="shared" ref="G81" si="87">+E79*0.4</f>
        <v>0.22599999999999998</v>
      </c>
      <c r="H81" s="71"/>
      <c r="I81" s="72"/>
      <c r="J81" s="73">
        <v>4.41E-2</v>
      </c>
      <c r="K81" s="191"/>
      <c r="L81" s="191"/>
      <c r="M81" s="191"/>
      <c r="N81" s="191"/>
      <c r="O81" s="191"/>
      <c r="P81" s="196"/>
      <c r="Q81" s="53"/>
      <c r="R81" s="53"/>
      <c r="S81" s="53"/>
      <c r="T81" s="53"/>
      <c r="U81" s="53"/>
      <c r="V81" s="53"/>
      <c r="W81" s="53"/>
      <c r="X81" s="53"/>
      <c r="Y81" s="53"/>
      <c r="Z81" s="53"/>
    </row>
    <row r="82" spans="1:26" s="61" customFormat="1" ht="13.5" customHeight="1" x14ac:dyDescent="0.25">
      <c r="A82" s="53"/>
      <c r="B82" s="211"/>
      <c r="C82" s="191"/>
      <c r="D82" s="191"/>
      <c r="E82" s="191"/>
      <c r="F82" s="69" t="s">
        <v>74</v>
      </c>
      <c r="G82" s="70">
        <f t="shared" ref="G82" si="88">IF(E79&lt;0.125,"NA",IF(0.125&lt;=E79,(0.8*E79)))</f>
        <v>0.45199999999999996</v>
      </c>
      <c r="H82" s="71"/>
      <c r="I82" s="72"/>
      <c r="J82" s="73">
        <v>7.9600000000000004E-2</v>
      </c>
      <c r="K82" s="191"/>
      <c r="L82" s="191"/>
      <c r="M82" s="191"/>
      <c r="N82" s="191"/>
      <c r="O82" s="191"/>
      <c r="P82" s="196"/>
      <c r="Q82" s="53"/>
      <c r="R82" s="53"/>
      <c r="S82" s="53"/>
      <c r="T82" s="53"/>
      <c r="U82" s="53"/>
      <c r="V82" s="53"/>
      <c r="W82" s="53"/>
      <c r="X82" s="53"/>
      <c r="Y82" s="53"/>
      <c r="Z82" s="53"/>
    </row>
    <row r="83" spans="1:26" s="61" customFormat="1" ht="13.5" customHeight="1" thickBot="1" x14ac:dyDescent="0.3">
      <c r="A83" s="53"/>
      <c r="B83" s="212"/>
      <c r="C83" s="192"/>
      <c r="D83" s="192"/>
      <c r="E83" s="192"/>
      <c r="F83" s="74" t="s">
        <v>75</v>
      </c>
      <c r="G83" s="75">
        <f t="shared" ref="G83" si="89">+E79</f>
        <v>0.56499999999999995</v>
      </c>
      <c r="H83" s="76"/>
      <c r="I83" s="77"/>
      <c r="J83" s="78">
        <v>5.8200000000000002E-2</v>
      </c>
      <c r="K83" s="192"/>
      <c r="L83" s="192"/>
      <c r="M83" s="192"/>
      <c r="N83" s="192"/>
      <c r="O83" s="192"/>
      <c r="P83" s="197"/>
      <c r="Q83" s="53"/>
      <c r="R83" s="53"/>
      <c r="S83" s="53"/>
      <c r="T83" s="53"/>
      <c r="U83" s="53"/>
      <c r="V83" s="53"/>
      <c r="W83" s="53"/>
      <c r="X83" s="53"/>
      <c r="Y83" s="53"/>
      <c r="Z83" s="53"/>
    </row>
    <row r="84" spans="1:26" s="61" customFormat="1" ht="13.5" customHeight="1" x14ac:dyDescent="0.25">
      <c r="A84" s="53"/>
      <c r="B84" s="210">
        <v>14</v>
      </c>
      <c r="C84" s="213">
        <f t="shared" ref="C84" si="90">+C79+$N$12</f>
        <v>7.1000000000000023</v>
      </c>
      <c r="D84" s="190">
        <v>0.54600000000000004</v>
      </c>
      <c r="E84" s="190">
        <v>0.505</v>
      </c>
      <c r="F84" s="64" t="s">
        <v>71</v>
      </c>
      <c r="G84" s="65">
        <v>0</v>
      </c>
      <c r="H84" s="66"/>
      <c r="I84" s="67"/>
      <c r="J84" s="68">
        <v>2.1999999999999999E-2</v>
      </c>
      <c r="K84" s="190">
        <f t="shared" ref="K84" si="91">+IF(E84&lt;=0.12,(J86),(IF(E84&lt;0.16,((J85+2*J86+J87)/4),IF(E84&gt;=0.16,((J84+3*J85+2*J86+3*J87+J88)/10)))))</f>
        <v>6.6000000000000017E-2</v>
      </c>
      <c r="L84" s="190">
        <f t="shared" ref="L84" si="92">ROUND(+(D79+D84)/2*(C84-C79),3)</f>
        <v>0.22</v>
      </c>
      <c r="M84" s="190">
        <f t="shared" ref="M84" si="93">ROUND(+K84*L84,4)</f>
        <v>1.4500000000000001E-2</v>
      </c>
      <c r="N84" s="193">
        <f t="shared" ref="N84" si="94">ROUND(+M84/$M$123*100,2)</f>
        <v>5.44</v>
      </c>
      <c r="O84" s="194"/>
      <c r="P84" s="195"/>
      <c r="Q84" s="53"/>
      <c r="R84" s="53"/>
      <c r="S84" s="53"/>
      <c r="T84" s="53"/>
      <c r="U84" s="53"/>
      <c r="V84" s="53"/>
      <c r="W84" s="53"/>
      <c r="X84" s="53"/>
      <c r="Y84" s="53"/>
      <c r="Z84" s="53"/>
    </row>
    <row r="85" spans="1:26" s="61" customFormat="1" ht="13.5" customHeight="1" x14ac:dyDescent="0.25">
      <c r="A85" s="53"/>
      <c r="B85" s="211"/>
      <c r="C85" s="191"/>
      <c r="D85" s="191"/>
      <c r="E85" s="191"/>
      <c r="F85" s="69" t="s">
        <v>72</v>
      </c>
      <c r="G85" s="70">
        <f t="shared" ref="G85" si="95">IF(E84&lt;0.125,"NA",IF(0.125&lt;=E84,(0.2*E84)))</f>
        <v>0.10100000000000001</v>
      </c>
      <c r="H85" s="71"/>
      <c r="I85" s="72"/>
      <c r="J85" s="73">
        <v>5.3999999999999999E-2</v>
      </c>
      <c r="K85" s="191"/>
      <c r="L85" s="191"/>
      <c r="M85" s="191"/>
      <c r="N85" s="191"/>
      <c r="O85" s="191"/>
      <c r="P85" s="196"/>
      <c r="Q85" s="53"/>
      <c r="R85" s="53"/>
      <c r="S85" s="53"/>
      <c r="T85" s="53"/>
      <c r="U85" s="53"/>
      <c r="V85" s="53"/>
      <c r="W85" s="53"/>
      <c r="X85" s="53"/>
      <c r="Y85" s="53"/>
      <c r="Z85" s="53"/>
    </row>
    <row r="86" spans="1:26" s="61" customFormat="1" ht="13.5" customHeight="1" x14ac:dyDescent="0.25">
      <c r="A86" s="53"/>
      <c r="B86" s="211"/>
      <c r="C86" s="191"/>
      <c r="D86" s="191"/>
      <c r="E86" s="191"/>
      <c r="F86" s="69" t="s">
        <v>73</v>
      </c>
      <c r="G86" s="70">
        <f t="shared" ref="G86" si="96">+E84*0.4</f>
        <v>0.20200000000000001</v>
      </c>
      <c r="H86" s="71"/>
      <c r="I86" s="72"/>
      <c r="J86" s="73">
        <v>6.0999999999999999E-2</v>
      </c>
      <c r="K86" s="191"/>
      <c r="L86" s="191"/>
      <c r="M86" s="191"/>
      <c r="N86" s="191"/>
      <c r="O86" s="191"/>
      <c r="P86" s="196"/>
      <c r="Q86" s="53"/>
      <c r="R86" s="53"/>
      <c r="S86" s="53"/>
      <c r="T86" s="53"/>
      <c r="U86" s="53"/>
      <c r="V86" s="53"/>
      <c r="W86" s="53"/>
      <c r="X86" s="53"/>
      <c r="Y86" s="53"/>
      <c r="Z86" s="53"/>
    </row>
    <row r="87" spans="1:26" s="61" customFormat="1" ht="13.5" customHeight="1" x14ac:dyDescent="0.25">
      <c r="A87" s="53"/>
      <c r="B87" s="211"/>
      <c r="C87" s="191"/>
      <c r="D87" s="191"/>
      <c r="E87" s="191"/>
      <c r="F87" s="69" t="s">
        <v>74</v>
      </c>
      <c r="G87" s="70">
        <f t="shared" ref="G87" si="97">IF(E84&lt;0.125,"NA",IF(0.125&lt;=E84,(0.8*E84)))</f>
        <v>0.40400000000000003</v>
      </c>
      <c r="H87" s="71"/>
      <c r="I87" s="72"/>
      <c r="J87" s="73">
        <v>0.1</v>
      </c>
      <c r="K87" s="191"/>
      <c r="L87" s="191"/>
      <c r="M87" s="191"/>
      <c r="N87" s="191"/>
      <c r="O87" s="191"/>
      <c r="P87" s="196"/>
      <c r="Q87" s="53"/>
      <c r="R87" s="53"/>
      <c r="S87" s="53"/>
      <c r="T87" s="53"/>
      <c r="U87" s="53"/>
      <c r="V87" s="53"/>
      <c r="W87" s="53"/>
      <c r="X87" s="53"/>
      <c r="Y87" s="53"/>
      <c r="Z87" s="53"/>
    </row>
    <row r="88" spans="1:26" s="61" customFormat="1" ht="13.5" customHeight="1" thickBot="1" x14ac:dyDescent="0.3">
      <c r="A88" s="53"/>
      <c r="B88" s="212"/>
      <c r="C88" s="192"/>
      <c r="D88" s="192"/>
      <c r="E88" s="192"/>
      <c r="F88" s="74" t="s">
        <v>75</v>
      </c>
      <c r="G88" s="75">
        <f t="shared" ref="G88" si="98">+E84</f>
        <v>0.505</v>
      </c>
      <c r="H88" s="76"/>
      <c r="I88" s="77"/>
      <c r="J88" s="78">
        <v>5.3999999999999999E-2</v>
      </c>
      <c r="K88" s="192"/>
      <c r="L88" s="192"/>
      <c r="M88" s="192"/>
      <c r="N88" s="192"/>
      <c r="O88" s="192"/>
      <c r="P88" s="197"/>
      <c r="Q88" s="53"/>
      <c r="R88" s="53"/>
      <c r="S88" s="53"/>
      <c r="T88" s="53"/>
      <c r="U88" s="53"/>
      <c r="V88" s="53"/>
      <c r="W88" s="53"/>
      <c r="X88" s="53"/>
      <c r="Y88" s="53"/>
      <c r="Z88" s="53"/>
    </row>
    <row r="89" spans="1:26" s="61" customFormat="1" ht="13.5" customHeight="1" x14ac:dyDescent="0.25">
      <c r="A89" s="53"/>
      <c r="B89" s="210">
        <v>15</v>
      </c>
      <c r="C89" s="213">
        <f t="shared" ref="C89" si="99">+C84+$N$12</f>
        <v>7.5000000000000027</v>
      </c>
      <c r="D89" s="190">
        <v>0.3</v>
      </c>
      <c r="E89" s="190">
        <v>0.22600000000000001</v>
      </c>
      <c r="F89" s="64" t="s">
        <v>71</v>
      </c>
      <c r="G89" s="65">
        <v>0</v>
      </c>
      <c r="H89" s="66"/>
      <c r="I89" s="67"/>
      <c r="J89" s="68">
        <v>3.1E-2</v>
      </c>
      <c r="K89" s="190">
        <f t="shared" ref="K89" si="100">+IF(E89&lt;=0.12,(J91),(IF(E89&lt;0.16,((J90+2*J91+J92)/4),IF(E89&gt;=0.16,((J89+3*J90+2*J91+3*J92+J93)/10)))))</f>
        <v>3.2500000000000001E-2</v>
      </c>
      <c r="L89" s="190">
        <f t="shared" ref="L89" si="101">ROUND(+(D84+D89)/2*(C89-C84),3)</f>
        <v>0.16900000000000001</v>
      </c>
      <c r="M89" s="190">
        <f t="shared" ref="M89" si="102">ROUND(+K89*L89,4)</f>
        <v>5.4999999999999997E-3</v>
      </c>
      <c r="N89" s="193">
        <f t="shared" ref="N89" si="103">ROUND(+M89/$M$123*100,2)</f>
        <v>2.06</v>
      </c>
      <c r="O89" s="194"/>
      <c r="P89" s="195"/>
      <c r="Q89" s="53"/>
      <c r="R89" s="53"/>
      <c r="S89" s="53"/>
      <c r="T89" s="53"/>
      <c r="U89" s="53"/>
      <c r="V89" s="53"/>
      <c r="W89" s="53"/>
      <c r="X89" s="53"/>
      <c r="Y89" s="53"/>
      <c r="Z89" s="53"/>
    </row>
    <row r="90" spans="1:26" s="61" customFormat="1" ht="13.5" customHeight="1" x14ac:dyDescent="0.25">
      <c r="A90" s="53"/>
      <c r="B90" s="211"/>
      <c r="C90" s="191"/>
      <c r="D90" s="191"/>
      <c r="E90" s="191"/>
      <c r="F90" s="69" t="s">
        <v>72</v>
      </c>
      <c r="G90" s="70">
        <f t="shared" ref="G90" si="104">IF(E89&lt;0.125,"NA",IF(0.125&lt;=E89,(0.2*E89)))</f>
        <v>4.5200000000000004E-2</v>
      </c>
      <c r="H90" s="71"/>
      <c r="I90" s="72"/>
      <c r="J90" s="73">
        <v>2.5000000000000001E-2</v>
      </c>
      <c r="K90" s="191"/>
      <c r="L90" s="191"/>
      <c r="M90" s="191"/>
      <c r="N90" s="191"/>
      <c r="O90" s="191"/>
      <c r="P90" s="196"/>
      <c r="Q90" s="53"/>
      <c r="R90" s="53"/>
      <c r="S90" s="53"/>
      <c r="T90" s="53"/>
      <c r="U90" s="53"/>
      <c r="V90" s="53"/>
      <c r="W90" s="53"/>
      <c r="X90" s="53"/>
      <c r="Y90" s="53"/>
      <c r="Z90" s="53"/>
    </row>
    <row r="91" spans="1:26" s="61" customFormat="1" ht="13.5" customHeight="1" x14ac:dyDescent="0.25">
      <c r="A91" s="53"/>
      <c r="B91" s="211"/>
      <c r="C91" s="191"/>
      <c r="D91" s="191"/>
      <c r="E91" s="191"/>
      <c r="F91" s="69" t="s">
        <v>73</v>
      </c>
      <c r="G91" s="70">
        <f t="shared" ref="G91" si="105">+E89*0.4</f>
        <v>9.0400000000000008E-2</v>
      </c>
      <c r="H91" s="71"/>
      <c r="I91" s="72"/>
      <c r="J91" s="73">
        <v>2.8000000000000001E-2</v>
      </c>
      <c r="K91" s="191"/>
      <c r="L91" s="191"/>
      <c r="M91" s="191"/>
      <c r="N91" s="191"/>
      <c r="O91" s="191"/>
      <c r="P91" s="196"/>
      <c r="Q91" s="53"/>
      <c r="R91" s="53"/>
      <c r="S91" s="53"/>
      <c r="T91" s="53"/>
      <c r="U91" s="53"/>
      <c r="V91" s="53"/>
      <c r="W91" s="53"/>
      <c r="X91" s="53"/>
      <c r="Y91" s="53"/>
      <c r="Z91" s="53"/>
    </row>
    <row r="92" spans="1:26" s="61" customFormat="1" ht="13.5" customHeight="1" x14ac:dyDescent="0.25">
      <c r="A92" s="53"/>
      <c r="B92" s="211"/>
      <c r="C92" s="191"/>
      <c r="D92" s="191"/>
      <c r="E92" s="191"/>
      <c r="F92" s="69" t="s">
        <v>74</v>
      </c>
      <c r="G92" s="70">
        <f t="shared" ref="G92" si="106">IF(E89&lt;0.125,"NA",IF(0.125&lt;=E89,(0.8*E89)))</f>
        <v>0.18080000000000002</v>
      </c>
      <c r="H92" s="71"/>
      <c r="I92" s="72"/>
      <c r="J92" s="73">
        <v>4.2000000000000003E-2</v>
      </c>
      <c r="K92" s="191"/>
      <c r="L92" s="191"/>
      <c r="M92" s="191"/>
      <c r="N92" s="191"/>
      <c r="O92" s="191"/>
      <c r="P92" s="196"/>
      <c r="Q92" s="53"/>
      <c r="R92" s="53"/>
      <c r="S92" s="53"/>
      <c r="T92" s="53"/>
      <c r="U92" s="53"/>
      <c r="V92" s="53"/>
      <c r="W92" s="53"/>
      <c r="X92" s="53"/>
      <c r="Y92" s="53"/>
      <c r="Z92" s="53"/>
    </row>
    <row r="93" spans="1:26" s="61" customFormat="1" ht="13.5" customHeight="1" thickBot="1" x14ac:dyDescent="0.3">
      <c r="A93" s="53"/>
      <c r="B93" s="212"/>
      <c r="C93" s="192"/>
      <c r="D93" s="192"/>
      <c r="E93" s="192"/>
      <c r="F93" s="74" t="s">
        <v>75</v>
      </c>
      <c r="G93" s="75">
        <f t="shared" ref="G93" si="107">+E89</f>
        <v>0.22600000000000001</v>
      </c>
      <c r="H93" s="76"/>
      <c r="I93" s="77"/>
      <c r="J93" s="78">
        <v>3.6999999999999998E-2</v>
      </c>
      <c r="K93" s="192"/>
      <c r="L93" s="192"/>
      <c r="M93" s="192"/>
      <c r="N93" s="192"/>
      <c r="O93" s="192"/>
      <c r="P93" s="197"/>
      <c r="Q93" s="53"/>
      <c r="R93" s="53"/>
      <c r="S93" s="53"/>
      <c r="T93" s="53"/>
      <c r="U93" s="53"/>
      <c r="V93" s="53"/>
      <c r="W93" s="53"/>
      <c r="X93" s="53"/>
      <c r="Y93" s="53"/>
      <c r="Z93" s="53"/>
    </row>
    <row r="94" spans="1:26" s="61" customFormat="1" ht="13.5" customHeight="1" x14ac:dyDescent="0.25">
      <c r="A94" s="53"/>
      <c r="B94" s="210">
        <v>16</v>
      </c>
      <c r="C94" s="213">
        <f t="shared" ref="C94" si="108">+C89+$N$12</f>
        <v>7.900000000000003</v>
      </c>
      <c r="D94" s="190">
        <v>0.19600000000000001</v>
      </c>
      <c r="E94" s="190">
        <v>0.20499999999999999</v>
      </c>
      <c r="F94" s="64" t="s">
        <v>71</v>
      </c>
      <c r="G94" s="65">
        <v>0</v>
      </c>
      <c r="H94" s="66"/>
      <c r="I94" s="67"/>
      <c r="J94" s="68">
        <v>1.0999999999999999E-2</v>
      </c>
      <c r="K94" s="190">
        <f t="shared" ref="K94" si="109">+IF(E94&lt;=0.12,(J96),(IF(E94&lt;0.16,((J95+2*J96+J97)/4),IF(E94&gt;=0.16,((J94+3*J95+2*J96+3*J97+J98)/10)))))</f>
        <v>2.8199999999999996E-2</v>
      </c>
      <c r="L94" s="190">
        <f t="shared" ref="L94" si="110">ROUND(+(D89+D94)/2*(C94-C89),3)</f>
        <v>9.9000000000000005E-2</v>
      </c>
      <c r="M94" s="190">
        <f t="shared" ref="M94" si="111">ROUND(+K94*L94,4)</f>
        <v>2.8E-3</v>
      </c>
      <c r="N94" s="193">
        <f t="shared" ref="N94" si="112">ROUND(+M94/$M$123*100,2)</f>
        <v>1.05</v>
      </c>
      <c r="O94" s="194"/>
      <c r="P94" s="195"/>
      <c r="Q94" s="53"/>
      <c r="R94" s="53"/>
      <c r="S94" s="53"/>
      <c r="T94" s="53"/>
      <c r="U94" s="53"/>
      <c r="V94" s="53"/>
      <c r="W94" s="53"/>
      <c r="X94" s="53"/>
      <c r="Y94" s="53"/>
      <c r="Z94" s="53"/>
    </row>
    <row r="95" spans="1:26" s="61" customFormat="1" ht="13.5" customHeight="1" x14ac:dyDescent="0.25">
      <c r="A95" s="53"/>
      <c r="B95" s="211"/>
      <c r="C95" s="191"/>
      <c r="D95" s="191"/>
      <c r="E95" s="191"/>
      <c r="F95" s="69" t="s">
        <v>72</v>
      </c>
      <c r="G95" s="70">
        <f t="shared" ref="G95" si="113">IF(E94&lt;0.125,"NA",IF(0.125&lt;=E94,(0.2*E94)))</f>
        <v>4.1000000000000002E-2</v>
      </c>
      <c r="H95" s="71"/>
      <c r="I95" s="72"/>
      <c r="J95" s="73">
        <v>2.1999999999999999E-2</v>
      </c>
      <c r="K95" s="191"/>
      <c r="L95" s="191"/>
      <c r="M95" s="191"/>
      <c r="N95" s="191"/>
      <c r="O95" s="191"/>
      <c r="P95" s="196"/>
      <c r="Q95" s="53"/>
      <c r="R95" s="53"/>
      <c r="S95" s="53"/>
      <c r="T95" s="53"/>
      <c r="U95" s="53"/>
      <c r="V95" s="53"/>
      <c r="W95" s="53"/>
      <c r="X95" s="53"/>
      <c r="Y95" s="53"/>
      <c r="Z95" s="53"/>
    </row>
    <row r="96" spans="1:26" s="61" customFormat="1" ht="13.5" customHeight="1" x14ac:dyDescent="0.25">
      <c r="A96" s="53"/>
      <c r="B96" s="211"/>
      <c r="C96" s="191"/>
      <c r="D96" s="191"/>
      <c r="E96" s="191"/>
      <c r="F96" s="69" t="s">
        <v>73</v>
      </c>
      <c r="G96" s="70">
        <f t="shared" ref="G96" si="114">+E94*0.4</f>
        <v>8.2000000000000003E-2</v>
      </c>
      <c r="H96" s="71"/>
      <c r="I96" s="72"/>
      <c r="J96" s="73">
        <v>2.7E-2</v>
      </c>
      <c r="K96" s="191"/>
      <c r="L96" s="191"/>
      <c r="M96" s="191"/>
      <c r="N96" s="191"/>
      <c r="O96" s="191"/>
      <c r="P96" s="196"/>
      <c r="Q96" s="53"/>
      <c r="R96" s="53"/>
      <c r="S96" s="53"/>
      <c r="T96" s="53"/>
      <c r="U96" s="53"/>
      <c r="V96" s="53"/>
      <c r="W96" s="53"/>
      <c r="X96" s="53"/>
      <c r="Y96" s="53"/>
      <c r="Z96" s="53"/>
    </row>
    <row r="97" spans="1:26" s="61" customFormat="1" ht="13.5" customHeight="1" x14ac:dyDescent="0.25">
      <c r="A97" s="53"/>
      <c r="B97" s="211"/>
      <c r="C97" s="191"/>
      <c r="D97" s="191"/>
      <c r="E97" s="191"/>
      <c r="F97" s="69" t="s">
        <v>74</v>
      </c>
      <c r="G97" s="70">
        <f t="shared" ref="G97" si="115">IF(E94&lt;0.125,"NA",IF(0.125&lt;=E94,(0.8*E94)))</f>
        <v>0.16400000000000001</v>
      </c>
      <c r="H97" s="71"/>
      <c r="I97" s="72"/>
      <c r="J97" s="73">
        <v>3.7999999999999999E-2</v>
      </c>
      <c r="K97" s="191"/>
      <c r="L97" s="191"/>
      <c r="M97" s="191"/>
      <c r="N97" s="191"/>
      <c r="O97" s="191"/>
      <c r="P97" s="196"/>
      <c r="Q97" s="53"/>
      <c r="R97" s="53"/>
      <c r="S97" s="53"/>
      <c r="T97" s="53"/>
      <c r="U97" s="53"/>
      <c r="V97" s="53"/>
      <c r="W97" s="53"/>
      <c r="X97" s="53"/>
      <c r="Y97" s="53"/>
      <c r="Z97" s="53"/>
    </row>
    <row r="98" spans="1:26" s="61" customFormat="1" ht="13.5" customHeight="1" thickBot="1" x14ac:dyDescent="0.3">
      <c r="A98" s="53"/>
      <c r="B98" s="212"/>
      <c r="C98" s="192"/>
      <c r="D98" s="192"/>
      <c r="E98" s="192"/>
      <c r="F98" s="74" t="s">
        <v>75</v>
      </c>
      <c r="G98" s="75">
        <f t="shared" ref="G98" si="116">+E94</f>
        <v>0.20499999999999999</v>
      </c>
      <c r="H98" s="76"/>
      <c r="I98" s="77"/>
      <c r="J98" s="78">
        <v>3.6999999999999998E-2</v>
      </c>
      <c r="K98" s="192"/>
      <c r="L98" s="192"/>
      <c r="M98" s="192"/>
      <c r="N98" s="192"/>
      <c r="O98" s="192"/>
      <c r="P98" s="197"/>
      <c r="Q98" s="53"/>
      <c r="R98" s="53"/>
      <c r="S98" s="53"/>
      <c r="T98" s="53"/>
      <c r="U98" s="53"/>
      <c r="V98" s="53"/>
      <c r="W98" s="53"/>
      <c r="X98" s="53"/>
      <c r="Y98" s="53"/>
      <c r="Z98" s="53"/>
    </row>
    <row r="99" spans="1:26" s="61" customFormat="1" ht="13.5" customHeight="1" x14ac:dyDescent="0.25">
      <c r="A99" s="53"/>
      <c r="B99" s="210">
        <v>17</v>
      </c>
      <c r="C99" s="213">
        <v>8.1999999999999993</v>
      </c>
      <c r="D99" s="190">
        <v>0</v>
      </c>
      <c r="E99" s="190">
        <v>0.11899999999999999</v>
      </c>
      <c r="F99" s="64" t="s">
        <v>71</v>
      </c>
      <c r="G99" s="65">
        <v>0</v>
      </c>
      <c r="H99" s="66"/>
      <c r="I99" s="67"/>
      <c r="J99" s="68">
        <v>1.2E-2</v>
      </c>
      <c r="K99" s="190">
        <f t="shared" ref="K99" si="117">+IF(E99&lt;=0.12,(J101),(IF(E99&lt;0.16,((J100+2*J101+J102)/4),IF(E99&gt;=0.16,((J99+3*J100+2*J101+3*J102+J103)/10)))))</f>
        <v>1.7999999999999999E-2</v>
      </c>
      <c r="L99" s="190">
        <f t="shared" ref="L99" si="118">ROUND(+(D94+D99)/2*(C99-C94),3)</f>
        <v>2.9000000000000001E-2</v>
      </c>
      <c r="M99" s="190">
        <f t="shared" ref="M99" si="119">ROUND(+K99*L99,4)</f>
        <v>5.0000000000000001E-4</v>
      </c>
      <c r="N99" s="193">
        <f t="shared" ref="N99" si="120">ROUND(+M99/$M$123*100,2)</f>
        <v>0.19</v>
      </c>
      <c r="O99" s="194"/>
      <c r="P99" s="195"/>
      <c r="Q99" s="53"/>
      <c r="R99" s="53"/>
      <c r="S99" s="53"/>
      <c r="T99" s="53"/>
      <c r="U99" s="53"/>
      <c r="V99" s="53"/>
      <c r="W99" s="53"/>
      <c r="X99" s="53"/>
      <c r="Y99" s="53"/>
      <c r="Z99" s="53"/>
    </row>
    <row r="100" spans="1:26" s="61" customFormat="1" ht="13.5" customHeight="1" x14ac:dyDescent="0.25">
      <c r="A100" s="53"/>
      <c r="B100" s="211"/>
      <c r="C100" s="191"/>
      <c r="D100" s="191"/>
      <c r="E100" s="191"/>
      <c r="F100" s="69" t="s">
        <v>72</v>
      </c>
      <c r="G100" s="70" t="str">
        <f t="shared" ref="G100" si="121">IF(E99&lt;0.125,"NA",IF(0.125&lt;=E99,(0.2*E99)))</f>
        <v>NA</v>
      </c>
      <c r="H100" s="71"/>
      <c r="I100" s="72"/>
      <c r="J100" s="73"/>
      <c r="K100" s="191"/>
      <c r="L100" s="191"/>
      <c r="M100" s="191"/>
      <c r="N100" s="191"/>
      <c r="O100" s="191"/>
      <c r="P100" s="196"/>
      <c r="Q100" s="53"/>
      <c r="R100" s="53"/>
      <c r="S100" s="53"/>
      <c r="T100" s="53"/>
      <c r="U100" s="53"/>
      <c r="V100" s="53"/>
      <c r="W100" s="53"/>
      <c r="X100" s="53"/>
      <c r="Y100" s="53"/>
      <c r="Z100" s="53"/>
    </row>
    <row r="101" spans="1:26" s="61" customFormat="1" ht="13.5" customHeight="1" x14ac:dyDescent="0.25">
      <c r="A101" s="53"/>
      <c r="B101" s="211"/>
      <c r="C101" s="191"/>
      <c r="D101" s="191"/>
      <c r="E101" s="191"/>
      <c r="F101" s="69" t="s">
        <v>73</v>
      </c>
      <c r="G101" s="70">
        <f t="shared" ref="G101" si="122">+E99*0.4</f>
        <v>4.7600000000000003E-2</v>
      </c>
      <c r="H101" s="71"/>
      <c r="I101" s="72"/>
      <c r="J101" s="73">
        <v>1.7999999999999999E-2</v>
      </c>
      <c r="K101" s="191"/>
      <c r="L101" s="191"/>
      <c r="M101" s="191"/>
      <c r="N101" s="191"/>
      <c r="O101" s="191"/>
      <c r="P101" s="196"/>
      <c r="Q101" s="53"/>
      <c r="R101" s="53"/>
      <c r="S101" s="53"/>
      <c r="T101" s="53"/>
      <c r="U101" s="53"/>
      <c r="V101" s="53"/>
      <c r="W101" s="53"/>
      <c r="X101" s="53"/>
      <c r="Y101" s="53"/>
      <c r="Z101" s="53"/>
    </row>
    <row r="102" spans="1:26" s="61" customFormat="1" ht="13.5" customHeight="1" x14ac:dyDescent="0.25">
      <c r="A102" s="53"/>
      <c r="B102" s="211"/>
      <c r="C102" s="191"/>
      <c r="D102" s="191"/>
      <c r="E102" s="191"/>
      <c r="F102" s="69" t="s">
        <v>74</v>
      </c>
      <c r="G102" s="70" t="str">
        <f t="shared" ref="G102" si="123">IF(E99&lt;0.125,"NA",IF(0.125&lt;=E99,(0.8*E99)))</f>
        <v>NA</v>
      </c>
      <c r="H102" s="71"/>
      <c r="I102" s="72"/>
      <c r="J102" s="73"/>
      <c r="K102" s="191"/>
      <c r="L102" s="191"/>
      <c r="M102" s="191"/>
      <c r="N102" s="191"/>
      <c r="O102" s="191"/>
      <c r="P102" s="196"/>
      <c r="Q102" s="53"/>
      <c r="R102" s="53"/>
      <c r="S102" s="53"/>
      <c r="T102" s="53"/>
      <c r="U102" s="53"/>
      <c r="V102" s="53"/>
      <c r="W102" s="53"/>
      <c r="X102" s="53"/>
      <c r="Y102" s="53"/>
      <c r="Z102" s="53"/>
    </row>
    <row r="103" spans="1:26" s="61" customFormat="1" ht="13.5" customHeight="1" thickBot="1" x14ac:dyDescent="0.3">
      <c r="A103" s="53"/>
      <c r="B103" s="212"/>
      <c r="C103" s="192"/>
      <c r="D103" s="192"/>
      <c r="E103" s="192"/>
      <c r="F103" s="74" t="s">
        <v>75</v>
      </c>
      <c r="G103" s="75">
        <f t="shared" ref="G103" si="124">+E99</f>
        <v>0.11899999999999999</v>
      </c>
      <c r="H103" s="76"/>
      <c r="I103" s="77"/>
      <c r="J103" s="78">
        <v>4.1000000000000002E-2</v>
      </c>
      <c r="K103" s="192"/>
      <c r="L103" s="192"/>
      <c r="M103" s="192"/>
      <c r="N103" s="192"/>
      <c r="O103" s="192"/>
      <c r="P103" s="197"/>
      <c r="Q103" s="53"/>
      <c r="R103" s="53"/>
      <c r="S103" s="53"/>
      <c r="T103" s="53"/>
      <c r="U103" s="53"/>
      <c r="V103" s="53"/>
      <c r="W103" s="53"/>
      <c r="X103" s="53"/>
      <c r="Y103" s="53"/>
      <c r="Z103" s="53"/>
    </row>
    <row r="104" spans="1:26" s="3" customFormat="1" ht="14.1" customHeight="1" x14ac:dyDescent="0.2">
      <c r="B104" s="198" t="s">
        <v>29</v>
      </c>
      <c r="C104" s="201"/>
      <c r="D104" s="202"/>
      <c r="E104" s="202"/>
      <c r="F104" s="202"/>
      <c r="G104" s="202"/>
      <c r="H104" s="202"/>
      <c r="I104" s="202"/>
      <c r="J104" s="202"/>
      <c r="K104" s="202"/>
      <c r="L104" s="202"/>
      <c r="M104" s="202"/>
      <c r="N104" s="202"/>
      <c r="O104" s="202"/>
      <c r="P104" s="203"/>
    </row>
    <row r="105" spans="1:26" s="3" customFormat="1" ht="14.1" customHeight="1" x14ac:dyDescent="0.2">
      <c r="B105" s="199"/>
      <c r="C105" s="204"/>
      <c r="D105" s="205"/>
      <c r="E105" s="205"/>
      <c r="F105" s="205"/>
      <c r="G105" s="205"/>
      <c r="H105" s="205"/>
      <c r="I105" s="205"/>
      <c r="J105" s="205"/>
      <c r="K105" s="205"/>
      <c r="L105" s="205"/>
      <c r="M105" s="205"/>
      <c r="N105" s="205"/>
      <c r="O105" s="205"/>
      <c r="P105" s="206"/>
    </row>
    <row r="106" spans="1:26" s="3" customFormat="1" ht="14.1" customHeight="1" x14ac:dyDescent="0.2">
      <c r="B106" s="199"/>
      <c r="C106" s="204"/>
      <c r="D106" s="205"/>
      <c r="E106" s="205"/>
      <c r="F106" s="205"/>
      <c r="G106" s="205"/>
      <c r="H106" s="205"/>
      <c r="I106" s="205"/>
      <c r="J106" s="205"/>
      <c r="K106" s="205"/>
      <c r="L106" s="205"/>
      <c r="M106" s="205"/>
      <c r="N106" s="205"/>
      <c r="O106" s="205"/>
      <c r="P106" s="206"/>
    </row>
    <row r="107" spans="1:26" s="3" customFormat="1" ht="14.1" customHeight="1" x14ac:dyDescent="0.2">
      <c r="B107" s="199"/>
      <c r="C107" s="204"/>
      <c r="D107" s="205"/>
      <c r="E107" s="205"/>
      <c r="F107" s="205"/>
      <c r="G107" s="205"/>
      <c r="H107" s="205"/>
      <c r="I107" s="205"/>
      <c r="J107" s="205"/>
      <c r="K107" s="205"/>
      <c r="L107" s="205"/>
      <c r="M107" s="205"/>
      <c r="N107" s="205"/>
      <c r="O107" s="205"/>
      <c r="P107" s="206"/>
    </row>
    <row r="108" spans="1:26" s="3" customFormat="1" ht="14.1" customHeight="1" x14ac:dyDescent="0.2">
      <c r="B108" s="199"/>
      <c r="C108" s="204"/>
      <c r="D108" s="205"/>
      <c r="E108" s="205"/>
      <c r="F108" s="205"/>
      <c r="G108" s="205"/>
      <c r="H108" s="205"/>
      <c r="I108" s="205"/>
      <c r="J108" s="205"/>
      <c r="K108" s="205"/>
      <c r="L108" s="205"/>
      <c r="M108" s="205"/>
      <c r="N108" s="205"/>
      <c r="O108" s="205"/>
      <c r="P108" s="206"/>
    </row>
    <row r="109" spans="1:26" s="3" customFormat="1" ht="14.1" customHeight="1" thickBot="1" x14ac:dyDescent="0.25">
      <c r="B109" s="200"/>
      <c r="C109" s="207"/>
      <c r="D109" s="208"/>
      <c r="E109" s="208"/>
      <c r="F109" s="208"/>
      <c r="G109" s="208"/>
      <c r="H109" s="208"/>
      <c r="I109" s="208"/>
      <c r="J109" s="208"/>
      <c r="K109" s="208"/>
      <c r="L109" s="208"/>
      <c r="M109" s="208"/>
      <c r="N109" s="208"/>
      <c r="O109" s="208"/>
      <c r="P109" s="209"/>
    </row>
    <row r="110" spans="1:26" s="3" customFormat="1" ht="28.5" customHeight="1" thickBot="1" x14ac:dyDescent="0.25">
      <c r="A110" s="79"/>
      <c r="B110" s="80" t="s">
        <v>76</v>
      </c>
      <c r="C110" s="177" t="s">
        <v>105</v>
      </c>
      <c r="D110" s="177"/>
      <c r="E110" s="177"/>
      <c r="F110" s="177"/>
      <c r="G110" s="177"/>
      <c r="H110" s="178"/>
      <c r="I110" s="179"/>
      <c r="J110" s="80" t="s">
        <v>77</v>
      </c>
      <c r="K110" s="177" t="s">
        <v>78</v>
      </c>
      <c r="L110" s="177"/>
      <c r="M110" s="177"/>
      <c r="N110" s="177"/>
      <c r="O110" s="177"/>
      <c r="P110" s="178"/>
    </row>
    <row r="111" spans="1:26" s="3" customFormat="1" ht="28.5" customHeight="1" thickBot="1" x14ac:dyDescent="0.25">
      <c r="B111" s="81" t="s">
        <v>79</v>
      </c>
      <c r="C111" s="181" t="s">
        <v>80</v>
      </c>
      <c r="D111" s="181"/>
      <c r="E111" s="181"/>
      <c r="F111" s="181"/>
      <c r="G111" s="181"/>
      <c r="H111" s="182"/>
      <c r="I111" s="180"/>
      <c r="J111" s="81" t="s">
        <v>81</v>
      </c>
      <c r="K111" s="181" t="s">
        <v>82</v>
      </c>
      <c r="L111" s="181"/>
      <c r="M111" s="181"/>
      <c r="N111" s="181"/>
      <c r="O111" s="181"/>
      <c r="P111" s="182"/>
    </row>
    <row r="112" spans="1:26" s="19" customFormat="1" ht="13.5" customHeight="1" x14ac:dyDescent="0.25">
      <c r="A112" s="82"/>
      <c r="B112" s="183">
        <v>9</v>
      </c>
      <c r="C112" s="186">
        <f>+C54</f>
        <v>4.7</v>
      </c>
      <c r="D112" s="188">
        <f>+D54</f>
        <v>0.63800000000000001</v>
      </c>
      <c r="E112" s="188">
        <f>+E59</f>
        <v>0.66500000000000004</v>
      </c>
      <c r="F112" s="83" t="s">
        <v>71</v>
      </c>
      <c r="G112" s="83">
        <v>0.01</v>
      </c>
      <c r="H112" s="84"/>
      <c r="I112" s="85"/>
      <c r="J112" s="86">
        <v>2.3399999999999997E-2</v>
      </c>
      <c r="K112" s="189">
        <f>+AVERAGE(J112:J122)</f>
        <v>0.19341818181818182</v>
      </c>
      <c r="L112" s="168">
        <f>ROUND(+(D112+D117)/2*(C117-C112),3)</f>
        <v>0.249</v>
      </c>
      <c r="M112" s="171">
        <f>ROUND(+K112*L112,4)</f>
        <v>4.82E-2</v>
      </c>
      <c r="N112" s="168">
        <f>ROUND(+M112/$M$123*100,2)</f>
        <v>18.09</v>
      </c>
      <c r="O112" s="168"/>
      <c r="P112" s="172"/>
      <c r="Q112" s="87"/>
      <c r="R112" s="87"/>
      <c r="S112" s="87"/>
      <c r="T112" s="87"/>
      <c r="U112" s="87"/>
      <c r="V112" s="87"/>
      <c r="W112" s="87"/>
      <c r="X112" s="87"/>
      <c r="Y112" s="87"/>
      <c r="Z112" s="87"/>
    </row>
    <row r="113" spans="1:26" s="19" customFormat="1" ht="13.5" customHeight="1" x14ac:dyDescent="0.25">
      <c r="A113" s="82"/>
      <c r="B113" s="184"/>
      <c r="C113" s="169"/>
      <c r="D113" s="169"/>
      <c r="E113" s="169"/>
      <c r="F113" s="88" t="s">
        <v>83</v>
      </c>
      <c r="G113" s="89">
        <f>+E112*0.1</f>
        <v>6.6500000000000004E-2</v>
      </c>
      <c r="H113" s="90"/>
      <c r="I113" s="91"/>
      <c r="J113" s="92">
        <v>6.1200000000000004E-2</v>
      </c>
      <c r="K113" s="169"/>
      <c r="L113" s="169"/>
      <c r="M113" s="169"/>
      <c r="N113" s="169"/>
      <c r="O113" s="169"/>
      <c r="P113" s="173"/>
      <c r="Q113" s="87"/>
      <c r="R113" s="87"/>
      <c r="S113" s="87"/>
      <c r="T113" s="87"/>
      <c r="U113" s="87"/>
      <c r="V113" s="87"/>
      <c r="W113" s="87"/>
      <c r="X113" s="87"/>
      <c r="Y113" s="87"/>
      <c r="Z113" s="87"/>
    </row>
    <row r="114" spans="1:26" s="19" customFormat="1" ht="13.5" customHeight="1" x14ac:dyDescent="0.25">
      <c r="A114" s="82"/>
      <c r="B114" s="184"/>
      <c r="C114" s="169"/>
      <c r="D114" s="169"/>
      <c r="E114" s="169"/>
      <c r="F114" s="88" t="s">
        <v>84</v>
      </c>
      <c r="G114" s="89">
        <f>+E112*0.2</f>
        <v>0.13300000000000001</v>
      </c>
      <c r="H114" s="90"/>
      <c r="I114" s="91"/>
      <c r="J114" s="92">
        <v>5.67E-2</v>
      </c>
      <c r="K114" s="169"/>
      <c r="L114" s="169"/>
      <c r="M114" s="169"/>
      <c r="N114" s="169"/>
      <c r="O114" s="169"/>
      <c r="P114" s="173"/>
      <c r="Q114" s="87"/>
      <c r="R114" s="87"/>
      <c r="S114" s="87"/>
      <c r="T114" s="87"/>
      <c r="U114" s="87"/>
      <c r="V114" s="87"/>
      <c r="W114" s="87"/>
      <c r="X114" s="87"/>
      <c r="Y114" s="87"/>
      <c r="Z114" s="87"/>
    </row>
    <row r="115" spans="1:26" s="19" customFormat="1" ht="13.5" customHeight="1" x14ac:dyDescent="0.25">
      <c r="A115" s="82"/>
      <c r="B115" s="184"/>
      <c r="C115" s="169"/>
      <c r="D115" s="169"/>
      <c r="E115" s="169"/>
      <c r="F115" s="88" t="s">
        <v>85</v>
      </c>
      <c r="G115" s="89">
        <f>+E112*0.3</f>
        <v>0.19950000000000001</v>
      </c>
      <c r="H115" s="90"/>
      <c r="I115" s="91"/>
      <c r="J115" s="92">
        <v>0.10440000000000001</v>
      </c>
      <c r="K115" s="169"/>
      <c r="L115" s="169"/>
      <c r="M115" s="169"/>
      <c r="N115" s="169"/>
      <c r="O115" s="169"/>
      <c r="P115" s="173"/>
      <c r="Q115" s="87"/>
      <c r="R115" s="87"/>
      <c r="S115" s="87"/>
      <c r="T115" s="87"/>
      <c r="U115" s="87"/>
      <c r="V115" s="87"/>
      <c r="W115" s="87"/>
      <c r="X115" s="87"/>
      <c r="Y115" s="87"/>
      <c r="Z115" s="87"/>
    </row>
    <row r="116" spans="1:26" s="19" customFormat="1" ht="13.5" customHeight="1" x14ac:dyDescent="0.25">
      <c r="A116" s="82"/>
      <c r="B116" s="184"/>
      <c r="C116" s="187"/>
      <c r="D116" s="187"/>
      <c r="E116" s="169"/>
      <c r="F116" s="88" t="s">
        <v>86</v>
      </c>
      <c r="G116" s="89">
        <f>+E112*0.4</f>
        <v>0.26600000000000001</v>
      </c>
      <c r="H116" s="90"/>
      <c r="I116" s="91"/>
      <c r="J116" s="92">
        <v>0.1638</v>
      </c>
      <c r="K116" s="169"/>
      <c r="L116" s="169"/>
      <c r="M116" s="169"/>
      <c r="N116" s="169"/>
      <c r="O116" s="169"/>
      <c r="P116" s="173"/>
      <c r="Q116" s="87"/>
      <c r="R116" s="87"/>
      <c r="S116" s="87"/>
      <c r="T116" s="87"/>
      <c r="U116" s="87"/>
      <c r="V116" s="87"/>
      <c r="W116" s="87"/>
      <c r="X116" s="87"/>
      <c r="Y116" s="87"/>
      <c r="Z116" s="87"/>
    </row>
    <row r="117" spans="1:26" s="19" customFormat="1" ht="13.5" customHeight="1" x14ac:dyDescent="0.25">
      <c r="A117" s="82"/>
      <c r="B117" s="184"/>
      <c r="C117" s="175">
        <f>+C59</f>
        <v>5.1000000000000005</v>
      </c>
      <c r="D117" s="176">
        <f>+D59</f>
        <v>0.60799999999999998</v>
      </c>
      <c r="E117" s="169"/>
      <c r="F117" s="88" t="s">
        <v>30</v>
      </c>
      <c r="G117" s="89">
        <f>+E112*0.5</f>
        <v>0.33250000000000002</v>
      </c>
      <c r="H117" s="90"/>
      <c r="I117" s="91"/>
      <c r="J117" s="92">
        <v>0.19889999999999999</v>
      </c>
      <c r="K117" s="169"/>
      <c r="L117" s="169"/>
      <c r="M117" s="169"/>
      <c r="N117" s="169"/>
      <c r="O117" s="169"/>
      <c r="P117" s="173"/>
      <c r="Q117" s="87"/>
      <c r="R117" s="87"/>
      <c r="S117" s="87"/>
      <c r="T117" s="87"/>
      <c r="U117" s="87"/>
      <c r="V117" s="87"/>
      <c r="W117" s="87"/>
      <c r="X117" s="87"/>
      <c r="Y117" s="87"/>
      <c r="Z117" s="87"/>
    </row>
    <row r="118" spans="1:26" s="19" customFormat="1" ht="13.5" customHeight="1" x14ac:dyDescent="0.25">
      <c r="A118" s="82"/>
      <c r="B118" s="184"/>
      <c r="C118" s="169"/>
      <c r="D118" s="169"/>
      <c r="E118" s="169"/>
      <c r="F118" s="88" t="s">
        <v>87</v>
      </c>
      <c r="G118" s="89">
        <f>+E112*0.6</f>
        <v>0.39900000000000002</v>
      </c>
      <c r="H118" s="90"/>
      <c r="I118" s="91"/>
      <c r="J118" s="92">
        <v>0.24390000000000001</v>
      </c>
      <c r="K118" s="169"/>
      <c r="L118" s="169"/>
      <c r="M118" s="169"/>
      <c r="N118" s="169"/>
      <c r="O118" s="169"/>
      <c r="P118" s="173"/>
      <c r="Q118" s="87"/>
      <c r="R118" s="87"/>
      <c r="S118" s="87"/>
      <c r="T118" s="87"/>
      <c r="U118" s="87"/>
      <c r="V118" s="87"/>
      <c r="W118" s="87"/>
      <c r="X118" s="87"/>
      <c r="Y118" s="87"/>
      <c r="Z118" s="87"/>
    </row>
    <row r="119" spans="1:26" s="19" customFormat="1" ht="13.5" customHeight="1" x14ac:dyDescent="0.25">
      <c r="A119" s="82"/>
      <c r="B119" s="184"/>
      <c r="C119" s="169"/>
      <c r="D119" s="169"/>
      <c r="E119" s="169"/>
      <c r="F119" s="88" t="s">
        <v>88</v>
      </c>
      <c r="G119" s="89">
        <f>+E112*0.7</f>
        <v>0.46549999999999997</v>
      </c>
      <c r="H119" s="90"/>
      <c r="I119" s="91"/>
      <c r="J119" s="92">
        <v>0.2898</v>
      </c>
      <c r="K119" s="169"/>
      <c r="L119" s="169"/>
      <c r="M119" s="169"/>
      <c r="N119" s="169"/>
      <c r="O119" s="169"/>
      <c r="P119" s="173"/>
      <c r="Q119" s="87"/>
      <c r="R119" s="87"/>
      <c r="S119" s="87"/>
      <c r="T119" s="87"/>
      <c r="U119" s="87"/>
      <c r="V119" s="87"/>
      <c r="W119" s="87"/>
      <c r="X119" s="87"/>
      <c r="Y119" s="87"/>
      <c r="Z119" s="87"/>
    </row>
    <row r="120" spans="1:26" s="19" customFormat="1" ht="13.5" customHeight="1" x14ac:dyDescent="0.25">
      <c r="A120" s="82"/>
      <c r="B120" s="184"/>
      <c r="C120" s="169"/>
      <c r="D120" s="169"/>
      <c r="E120" s="169"/>
      <c r="F120" s="88" t="s">
        <v>89</v>
      </c>
      <c r="G120" s="89">
        <f>+E112*0.8</f>
        <v>0.53200000000000003</v>
      </c>
      <c r="H120" s="90"/>
      <c r="I120" s="91"/>
      <c r="J120" s="92">
        <v>0.28170000000000001</v>
      </c>
      <c r="K120" s="169"/>
      <c r="L120" s="169"/>
      <c r="M120" s="169"/>
      <c r="N120" s="169"/>
      <c r="O120" s="169"/>
      <c r="P120" s="173"/>
      <c r="Q120" s="87"/>
      <c r="R120" s="87"/>
      <c r="S120" s="87"/>
      <c r="T120" s="87"/>
      <c r="U120" s="87"/>
      <c r="V120" s="87"/>
      <c r="W120" s="87"/>
      <c r="X120" s="87"/>
      <c r="Y120" s="87"/>
      <c r="Z120" s="87"/>
    </row>
    <row r="121" spans="1:26" s="19" customFormat="1" ht="13.5" customHeight="1" x14ac:dyDescent="0.25">
      <c r="A121" s="82"/>
      <c r="B121" s="184"/>
      <c r="C121" s="169"/>
      <c r="D121" s="169"/>
      <c r="E121" s="169"/>
      <c r="F121" s="88" t="s">
        <v>90</v>
      </c>
      <c r="G121" s="89">
        <f>+E112*0.9</f>
        <v>0.59850000000000003</v>
      </c>
      <c r="H121" s="90"/>
      <c r="I121" s="91"/>
      <c r="J121" s="92">
        <v>0.31319999999999998</v>
      </c>
      <c r="K121" s="169"/>
      <c r="L121" s="169"/>
      <c r="M121" s="169"/>
      <c r="N121" s="169"/>
      <c r="O121" s="169"/>
      <c r="P121" s="173"/>
      <c r="Q121" s="87"/>
      <c r="R121" s="87"/>
      <c r="S121" s="87"/>
      <c r="T121" s="87"/>
      <c r="U121" s="87"/>
      <c r="V121" s="87"/>
      <c r="W121" s="87"/>
      <c r="X121" s="87"/>
      <c r="Y121" s="87"/>
      <c r="Z121" s="87"/>
    </row>
    <row r="122" spans="1:26" s="19" customFormat="1" ht="15.75" thickBot="1" x14ac:dyDescent="0.3">
      <c r="A122" s="82"/>
      <c r="B122" s="185"/>
      <c r="C122" s="170"/>
      <c r="D122" s="170"/>
      <c r="E122" s="170"/>
      <c r="F122" s="93" t="s">
        <v>31</v>
      </c>
      <c r="G122" s="93">
        <f>+E112</f>
        <v>0.66500000000000004</v>
      </c>
      <c r="H122" s="94"/>
      <c r="I122" s="95"/>
      <c r="J122" s="96">
        <v>0.3906</v>
      </c>
      <c r="K122" s="170"/>
      <c r="L122" s="170"/>
      <c r="M122" s="170"/>
      <c r="N122" s="170"/>
      <c r="O122" s="170"/>
      <c r="P122" s="174"/>
      <c r="Q122" s="87"/>
      <c r="R122" s="87"/>
      <c r="S122" s="87"/>
      <c r="T122" s="87"/>
      <c r="U122" s="87"/>
      <c r="V122" s="87"/>
      <c r="W122" s="87"/>
      <c r="X122" s="87"/>
      <c r="Y122" s="87"/>
      <c r="Z122" s="87"/>
    </row>
    <row r="123" spans="1:26" s="3" customFormat="1" ht="12.75" x14ac:dyDescent="0.2">
      <c r="A123" s="11"/>
      <c r="B123" s="156" t="s">
        <v>32</v>
      </c>
      <c r="C123" s="156"/>
      <c r="D123" s="156"/>
      <c r="E123" s="156"/>
      <c r="F123" s="156"/>
      <c r="G123" s="156"/>
      <c r="H123" s="156"/>
      <c r="I123" s="156"/>
      <c r="J123" s="156"/>
      <c r="K123" s="12">
        <f>ROUND(+M123/L123,3)</f>
        <v>0.10299999999999999</v>
      </c>
      <c r="L123" s="16">
        <f>SUM(L19:L122)</f>
        <v>2.5780000000000007</v>
      </c>
      <c r="M123" s="15">
        <f>SUM(M19:M122)</f>
        <v>0.26640000000000003</v>
      </c>
      <c r="N123" s="13">
        <f>ROUND(SUM(N19:N122),0)</f>
        <v>100</v>
      </c>
      <c r="O123" s="158" t="s">
        <v>33</v>
      </c>
      <c r="P123" s="160"/>
    </row>
    <row r="124" spans="1:26" s="3" customFormat="1" ht="15" customHeight="1" thickBot="1" x14ac:dyDescent="0.25">
      <c r="A124" s="11"/>
      <c r="B124" s="157"/>
      <c r="C124" s="157"/>
      <c r="D124" s="157"/>
      <c r="E124" s="157"/>
      <c r="F124" s="157"/>
      <c r="G124" s="157"/>
      <c r="H124" s="157"/>
      <c r="I124" s="157"/>
      <c r="J124" s="157"/>
      <c r="K124" s="14" t="s">
        <v>34</v>
      </c>
      <c r="L124" s="14" t="s">
        <v>50</v>
      </c>
      <c r="M124" s="14" t="s">
        <v>51</v>
      </c>
      <c r="N124" s="14" t="s">
        <v>35</v>
      </c>
      <c r="O124" s="159"/>
      <c r="P124" s="161"/>
    </row>
    <row r="125" spans="1:26" ht="15" customHeight="1" thickBot="1" x14ac:dyDescent="0.3">
      <c r="A125" s="5"/>
      <c r="B125" s="162" t="s">
        <v>91</v>
      </c>
      <c r="C125" s="163"/>
      <c r="D125" s="163"/>
      <c r="E125" s="163"/>
      <c r="F125" s="164"/>
      <c r="G125" s="162" t="s">
        <v>92</v>
      </c>
      <c r="H125" s="163"/>
      <c r="I125" s="163"/>
      <c r="J125" s="163"/>
      <c r="K125" s="164"/>
      <c r="L125" s="165" t="s">
        <v>53</v>
      </c>
      <c r="M125" s="166"/>
      <c r="N125" s="166"/>
      <c r="O125" s="166"/>
      <c r="P125" s="167"/>
    </row>
    <row r="126" spans="1:26" ht="15" customHeight="1" x14ac:dyDescent="0.25">
      <c r="A126" s="5"/>
      <c r="B126" s="126"/>
      <c r="C126" s="127"/>
      <c r="D126" s="127"/>
      <c r="E126" s="127"/>
      <c r="F126" s="128"/>
      <c r="G126" s="126"/>
      <c r="H126" s="127"/>
      <c r="I126" s="127"/>
      <c r="J126" s="127"/>
      <c r="K126" s="128"/>
      <c r="L126" s="135" t="s">
        <v>93</v>
      </c>
      <c r="M126" s="136"/>
      <c r="N126" s="136"/>
      <c r="O126" s="137">
        <f>+AVERAGE(E18:E103)</f>
        <v>0.39623529411764702</v>
      </c>
      <c r="P126" s="138"/>
    </row>
    <row r="127" spans="1:26" ht="15" customHeight="1" thickBot="1" x14ac:dyDescent="0.3">
      <c r="A127" s="5"/>
      <c r="B127" s="129"/>
      <c r="C127" s="130"/>
      <c r="D127" s="130"/>
      <c r="E127" s="130"/>
      <c r="F127" s="131"/>
      <c r="G127" s="129"/>
      <c r="H127" s="130"/>
      <c r="I127" s="130"/>
      <c r="J127" s="130"/>
      <c r="K127" s="131"/>
      <c r="L127" s="139" t="s">
        <v>94</v>
      </c>
      <c r="M127" s="140"/>
      <c r="N127" s="140"/>
      <c r="O127" s="141">
        <f>+MAX(E18:E103)</f>
        <v>0.66500000000000004</v>
      </c>
      <c r="P127" s="142"/>
    </row>
    <row r="128" spans="1:26" ht="18.600000000000001" customHeight="1" x14ac:dyDescent="0.25">
      <c r="A128" s="6"/>
      <c r="B128" s="129"/>
      <c r="C128" s="130"/>
      <c r="D128" s="130"/>
      <c r="E128" s="130"/>
      <c r="F128" s="131"/>
      <c r="G128" s="129"/>
      <c r="H128" s="130"/>
      <c r="I128" s="130"/>
      <c r="J128" s="130"/>
      <c r="K128" s="131"/>
      <c r="L128" s="143"/>
      <c r="M128" s="144"/>
      <c r="N128" s="144"/>
      <c r="O128" s="144"/>
      <c r="P128" s="145"/>
    </row>
    <row r="129" spans="1:16" ht="61.5" customHeight="1" x14ac:dyDescent="0.25">
      <c r="A129" s="10"/>
      <c r="B129" s="129"/>
      <c r="C129" s="130"/>
      <c r="D129" s="130"/>
      <c r="E129" s="130"/>
      <c r="F129" s="131"/>
      <c r="G129" s="129"/>
      <c r="H129" s="130"/>
      <c r="I129" s="130"/>
      <c r="J129" s="130"/>
      <c r="K129" s="131"/>
      <c r="L129" s="146"/>
      <c r="M129" s="147"/>
      <c r="N129" s="147"/>
      <c r="O129" s="147"/>
      <c r="P129" s="148"/>
    </row>
    <row r="130" spans="1:16" ht="15" customHeight="1" thickBot="1" x14ac:dyDescent="0.3">
      <c r="A130" s="5"/>
      <c r="B130" s="129"/>
      <c r="C130" s="130"/>
      <c r="D130" s="130"/>
      <c r="E130" s="130"/>
      <c r="F130" s="131"/>
      <c r="G130" s="129"/>
      <c r="H130" s="130"/>
      <c r="I130" s="130"/>
      <c r="J130" s="130"/>
      <c r="K130" s="131"/>
      <c r="L130" s="149"/>
      <c r="M130" s="150"/>
      <c r="N130" s="150"/>
      <c r="O130" s="150"/>
      <c r="P130" s="151"/>
    </row>
    <row r="131" spans="1:16" ht="22.5" customHeight="1" thickBot="1" x14ac:dyDescent="0.3">
      <c r="A131" s="5"/>
      <c r="B131" s="129"/>
      <c r="C131" s="130"/>
      <c r="D131" s="130"/>
      <c r="E131" s="130"/>
      <c r="F131" s="131"/>
      <c r="G131" s="129"/>
      <c r="H131" s="130"/>
      <c r="I131" s="130"/>
      <c r="J131" s="130"/>
      <c r="K131" s="131"/>
      <c r="L131" s="152" t="s">
        <v>36</v>
      </c>
      <c r="M131" s="153"/>
      <c r="N131" s="153"/>
      <c r="O131" s="153"/>
      <c r="P131" s="97">
        <v>5.6</v>
      </c>
    </row>
    <row r="132" spans="1:16" ht="32.25" customHeight="1" thickBot="1" x14ac:dyDescent="0.3">
      <c r="A132" s="5"/>
      <c r="B132" s="132"/>
      <c r="C132" s="133"/>
      <c r="D132" s="133"/>
      <c r="E132" s="133"/>
      <c r="F132" s="134"/>
      <c r="G132" s="132"/>
      <c r="H132" s="133"/>
      <c r="I132" s="133"/>
      <c r="J132" s="133"/>
      <c r="K132" s="134"/>
      <c r="L132" s="154" t="s">
        <v>52</v>
      </c>
      <c r="M132" s="155"/>
      <c r="N132" s="155"/>
      <c r="O132" s="155"/>
      <c r="P132" s="97">
        <v>0.50700000000000001</v>
      </c>
    </row>
    <row r="133" spans="1:16" ht="23.45" customHeight="1" thickBot="1" x14ac:dyDescent="0.3">
      <c r="A133" s="7"/>
      <c r="B133" s="115"/>
      <c r="C133" s="115"/>
      <c r="D133" s="115"/>
      <c r="E133" s="115"/>
      <c r="F133" s="115"/>
      <c r="G133" s="115"/>
      <c r="H133" s="115"/>
      <c r="I133" s="115"/>
      <c r="J133" s="115"/>
      <c r="K133" s="115"/>
      <c r="L133" s="115"/>
      <c r="M133" s="115"/>
      <c r="N133" s="115"/>
      <c r="O133" s="115"/>
      <c r="P133" s="115"/>
    </row>
    <row r="134" spans="1:16" ht="15.75" thickBot="1" x14ac:dyDescent="0.3">
      <c r="A134" s="116" t="s">
        <v>37</v>
      </c>
      <c r="B134" s="117"/>
      <c r="C134" s="117"/>
      <c r="D134" s="117"/>
      <c r="E134" s="117"/>
      <c r="F134" s="117"/>
      <c r="G134" s="117"/>
      <c r="H134" s="117"/>
      <c r="I134" s="117"/>
      <c r="J134" s="117"/>
      <c r="K134" s="117"/>
      <c r="L134" s="117"/>
      <c r="M134" s="117"/>
      <c r="N134" s="117"/>
      <c r="O134" s="117"/>
      <c r="P134" s="118"/>
    </row>
    <row r="135" spans="1:16" ht="159" customHeight="1" thickBot="1" x14ac:dyDescent="0.3">
      <c r="A135" s="4"/>
      <c r="B135" s="119"/>
      <c r="C135" s="120"/>
      <c r="D135" s="120"/>
      <c r="E135" s="120"/>
      <c r="F135" s="121"/>
      <c r="G135" s="120"/>
      <c r="H135" s="120"/>
      <c r="I135" s="120"/>
      <c r="J135" s="120"/>
      <c r="K135" s="120"/>
      <c r="L135" s="119"/>
      <c r="M135" s="120"/>
      <c r="N135" s="120"/>
      <c r="O135" s="120"/>
      <c r="P135" s="121"/>
    </row>
    <row r="136" spans="1:16" ht="21.75" customHeight="1" thickBot="1" x14ac:dyDescent="0.3">
      <c r="A136" s="4"/>
      <c r="B136" s="122"/>
      <c r="C136" s="123"/>
      <c r="D136" s="123"/>
      <c r="E136" s="123"/>
      <c r="F136" s="124"/>
      <c r="G136" s="122"/>
      <c r="H136" s="123"/>
      <c r="I136" s="123"/>
      <c r="J136" s="123"/>
      <c r="K136" s="124"/>
      <c r="L136" s="122"/>
      <c r="M136" s="123"/>
      <c r="N136" s="123"/>
      <c r="O136" s="123"/>
      <c r="P136" s="125"/>
    </row>
    <row r="137" spans="1:16" s="9" customFormat="1" ht="16.899999999999999" customHeight="1" thickBot="1" x14ac:dyDescent="0.3">
      <c r="A137" s="8"/>
      <c r="B137" s="110"/>
      <c r="C137" s="110"/>
      <c r="D137" s="110"/>
      <c r="E137" s="110"/>
      <c r="F137" s="110"/>
      <c r="G137" s="110"/>
      <c r="H137" s="110"/>
      <c r="I137" s="110"/>
      <c r="J137" s="110"/>
      <c r="K137" s="110"/>
      <c r="L137" s="110"/>
      <c r="M137" s="110"/>
      <c r="N137" s="110"/>
      <c r="O137" s="110"/>
      <c r="P137" s="111"/>
    </row>
    <row r="138" spans="1:16" s="3" customFormat="1" ht="15.75" customHeight="1" thickBot="1" x14ac:dyDescent="0.25">
      <c r="A138" s="112" t="s">
        <v>38</v>
      </c>
      <c r="B138" s="113"/>
      <c r="C138" s="113"/>
      <c r="D138" s="113" t="s">
        <v>112</v>
      </c>
      <c r="E138" s="113"/>
      <c r="F138" s="113"/>
      <c r="G138" s="113"/>
      <c r="H138" s="113"/>
      <c r="I138" s="113"/>
      <c r="J138" s="113" t="s">
        <v>39</v>
      </c>
      <c r="K138" s="113"/>
      <c r="L138" s="113"/>
      <c r="M138" s="113"/>
      <c r="N138" s="113"/>
      <c r="O138" s="113"/>
      <c r="P138" s="114"/>
    </row>
  </sheetData>
  <mergeCells count="275">
    <mergeCell ref="B4:P4"/>
    <mergeCell ref="C5:D5"/>
    <mergeCell ref="H5:P5"/>
    <mergeCell ref="B2:D3"/>
    <mergeCell ref="E2:N3"/>
    <mergeCell ref="O2:P3"/>
    <mergeCell ref="B6:C6"/>
    <mergeCell ref="D6:I6"/>
    <mergeCell ref="K6:L6"/>
    <mergeCell ref="M6:N6"/>
    <mergeCell ref="B7:B8"/>
    <mergeCell ref="C7:D7"/>
    <mergeCell ref="F7:I7"/>
    <mergeCell ref="J7:M7"/>
    <mergeCell ref="N7:O7"/>
    <mergeCell ref="C8:D8"/>
    <mergeCell ref="F8:I8"/>
    <mergeCell ref="J8:M8"/>
    <mergeCell ref="N8:O8"/>
    <mergeCell ref="B9:B12"/>
    <mergeCell ref="C9:C10"/>
    <mergeCell ref="D9:E9"/>
    <mergeCell ref="G9:G10"/>
    <mergeCell ref="H9:I9"/>
    <mergeCell ref="K9:K10"/>
    <mergeCell ref="L9:P10"/>
    <mergeCell ref="O11:P11"/>
    <mergeCell ref="C12:D12"/>
    <mergeCell ref="F12:G12"/>
    <mergeCell ref="I12:J12"/>
    <mergeCell ref="L12:M12"/>
    <mergeCell ref="O12:P12"/>
    <mergeCell ref="D10:E10"/>
    <mergeCell ref="H10:I10"/>
    <mergeCell ref="C11:D11"/>
    <mergeCell ref="F11:G11"/>
    <mergeCell ref="I11:J11"/>
    <mergeCell ref="L11:M11"/>
    <mergeCell ref="F15:I15"/>
    <mergeCell ref="J15:M15"/>
    <mergeCell ref="N15:P15"/>
    <mergeCell ref="B16:B17"/>
    <mergeCell ref="C16:C17"/>
    <mergeCell ref="D16:D17"/>
    <mergeCell ref="E16:E17"/>
    <mergeCell ref="F16:G17"/>
    <mergeCell ref="H16:H17"/>
    <mergeCell ref="I16:I17"/>
    <mergeCell ref="B13:B15"/>
    <mergeCell ref="C13:E13"/>
    <mergeCell ref="F13:I13"/>
    <mergeCell ref="J13:M13"/>
    <mergeCell ref="N13:P13"/>
    <mergeCell ref="C14:E14"/>
    <mergeCell ref="F14:I14"/>
    <mergeCell ref="J14:M14"/>
    <mergeCell ref="N14:P14"/>
    <mergeCell ref="C15:E15"/>
    <mergeCell ref="M19:M23"/>
    <mergeCell ref="N19:N23"/>
    <mergeCell ref="O19:O23"/>
    <mergeCell ref="P19:P23"/>
    <mergeCell ref="B24:B28"/>
    <mergeCell ref="C24:C28"/>
    <mergeCell ref="D24:D28"/>
    <mergeCell ref="E24:E28"/>
    <mergeCell ref="K24:K28"/>
    <mergeCell ref="L24:L28"/>
    <mergeCell ref="B19:B23"/>
    <mergeCell ref="C19:C23"/>
    <mergeCell ref="D19:D23"/>
    <mergeCell ref="E19:E23"/>
    <mergeCell ref="K19:K23"/>
    <mergeCell ref="L19:L23"/>
    <mergeCell ref="M24:M28"/>
    <mergeCell ref="N24:N28"/>
    <mergeCell ref="O24:O28"/>
    <mergeCell ref="P24:P28"/>
    <mergeCell ref="B29:B33"/>
    <mergeCell ref="C29:C33"/>
    <mergeCell ref="D29:D33"/>
    <mergeCell ref="E29:E33"/>
    <mergeCell ref="K29:K33"/>
    <mergeCell ref="L29:L33"/>
    <mergeCell ref="M29:M33"/>
    <mergeCell ref="N29:N33"/>
    <mergeCell ref="O29:O33"/>
    <mergeCell ref="P29:P33"/>
    <mergeCell ref="B34:B38"/>
    <mergeCell ref="C34:C38"/>
    <mergeCell ref="D34:D38"/>
    <mergeCell ref="E34:E38"/>
    <mergeCell ref="K34:K38"/>
    <mergeCell ref="L34:L38"/>
    <mergeCell ref="M34:M38"/>
    <mergeCell ref="N34:N38"/>
    <mergeCell ref="O34:O38"/>
    <mergeCell ref="P34:P38"/>
    <mergeCell ref="B39:B43"/>
    <mergeCell ref="C39:C43"/>
    <mergeCell ref="D39:D43"/>
    <mergeCell ref="E39:E43"/>
    <mergeCell ref="K39:K43"/>
    <mergeCell ref="L39:L43"/>
    <mergeCell ref="M39:M43"/>
    <mergeCell ref="N39:N43"/>
    <mergeCell ref="O39:O43"/>
    <mergeCell ref="P39:P43"/>
    <mergeCell ref="B44:B48"/>
    <mergeCell ref="C44:C48"/>
    <mergeCell ref="D44:D48"/>
    <mergeCell ref="E44:E48"/>
    <mergeCell ref="K44:K48"/>
    <mergeCell ref="L44:L48"/>
    <mergeCell ref="M44:M48"/>
    <mergeCell ref="N44:N48"/>
    <mergeCell ref="O44:O48"/>
    <mergeCell ref="P44:P48"/>
    <mergeCell ref="B49:B53"/>
    <mergeCell ref="C49:C53"/>
    <mergeCell ref="D49:D53"/>
    <mergeCell ref="E49:E53"/>
    <mergeCell ref="K49:K53"/>
    <mergeCell ref="L49:L53"/>
    <mergeCell ref="M49:M53"/>
    <mergeCell ref="N49:N53"/>
    <mergeCell ref="O49:O53"/>
    <mergeCell ref="P49:P53"/>
    <mergeCell ref="B54:B58"/>
    <mergeCell ref="C54:C58"/>
    <mergeCell ref="D54:D58"/>
    <mergeCell ref="E54:E58"/>
    <mergeCell ref="K54:K58"/>
    <mergeCell ref="L54:L58"/>
    <mergeCell ref="M54:M58"/>
    <mergeCell ref="N54:N58"/>
    <mergeCell ref="O54:O58"/>
    <mergeCell ref="P54:P58"/>
    <mergeCell ref="B59:B63"/>
    <mergeCell ref="C59:C63"/>
    <mergeCell ref="D59:D63"/>
    <mergeCell ref="E59:E63"/>
    <mergeCell ref="K59:K63"/>
    <mergeCell ref="L59:L63"/>
    <mergeCell ref="M59:M63"/>
    <mergeCell ref="N59:N63"/>
    <mergeCell ref="O59:O63"/>
    <mergeCell ref="P59:P63"/>
    <mergeCell ref="B64:B68"/>
    <mergeCell ref="C64:C68"/>
    <mergeCell ref="D64:D68"/>
    <mergeCell ref="E64:E68"/>
    <mergeCell ref="K64:K68"/>
    <mergeCell ref="L64:L68"/>
    <mergeCell ref="M64:M68"/>
    <mergeCell ref="N64:N68"/>
    <mergeCell ref="O64:O68"/>
    <mergeCell ref="P64:P68"/>
    <mergeCell ref="B69:B73"/>
    <mergeCell ref="C69:C73"/>
    <mergeCell ref="D69:D73"/>
    <mergeCell ref="E69:E73"/>
    <mergeCell ref="K69:K73"/>
    <mergeCell ref="L69:L73"/>
    <mergeCell ref="M69:M73"/>
    <mergeCell ref="N69:N73"/>
    <mergeCell ref="O69:O73"/>
    <mergeCell ref="P69:P73"/>
    <mergeCell ref="B74:B78"/>
    <mergeCell ref="C74:C78"/>
    <mergeCell ref="D74:D78"/>
    <mergeCell ref="E74:E78"/>
    <mergeCell ref="K74:K78"/>
    <mergeCell ref="L74:L78"/>
    <mergeCell ref="M74:M78"/>
    <mergeCell ref="N74:N78"/>
    <mergeCell ref="O74:O78"/>
    <mergeCell ref="P74:P78"/>
    <mergeCell ref="B79:B83"/>
    <mergeCell ref="C79:C83"/>
    <mergeCell ref="D79:D83"/>
    <mergeCell ref="E79:E83"/>
    <mergeCell ref="K79:K83"/>
    <mergeCell ref="L79:L83"/>
    <mergeCell ref="M79:M83"/>
    <mergeCell ref="N79:N83"/>
    <mergeCell ref="O79:O83"/>
    <mergeCell ref="P79:P83"/>
    <mergeCell ref="B84:B88"/>
    <mergeCell ref="C84:C88"/>
    <mergeCell ref="D84:D88"/>
    <mergeCell ref="E84:E88"/>
    <mergeCell ref="K84:K88"/>
    <mergeCell ref="L84:L88"/>
    <mergeCell ref="M84:M88"/>
    <mergeCell ref="N84:N88"/>
    <mergeCell ref="O84:O88"/>
    <mergeCell ref="P84:P88"/>
    <mergeCell ref="B89:B93"/>
    <mergeCell ref="C89:C93"/>
    <mergeCell ref="D89:D93"/>
    <mergeCell ref="E89:E93"/>
    <mergeCell ref="K89:K93"/>
    <mergeCell ref="L89:L93"/>
    <mergeCell ref="M89:M93"/>
    <mergeCell ref="N89:N93"/>
    <mergeCell ref="O89:O93"/>
    <mergeCell ref="P89:P93"/>
    <mergeCell ref="B94:B98"/>
    <mergeCell ref="C94:C98"/>
    <mergeCell ref="D94:D98"/>
    <mergeCell ref="E94:E98"/>
    <mergeCell ref="K94:K98"/>
    <mergeCell ref="L94:L98"/>
    <mergeCell ref="M99:M103"/>
    <mergeCell ref="N99:N103"/>
    <mergeCell ref="O99:O103"/>
    <mergeCell ref="P99:P103"/>
    <mergeCell ref="B104:B109"/>
    <mergeCell ref="C104:P109"/>
    <mergeCell ref="M94:M98"/>
    <mergeCell ref="N94:N98"/>
    <mergeCell ref="O94:O98"/>
    <mergeCell ref="P94:P98"/>
    <mergeCell ref="B99:B103"/>
    <mergeCell ref="C99:C103"/>
    <mergeCell ref="D99:D103"/>
    <mergeCell ref="E99:E103"/>
    <mergeCell ref="K99:K103"/>
    <mergeCell ref="L99:L103"/>
    <mergeCell ref="C110:H110"/>
    <mergeCell ref="I110:I111"/>
    <mergeCell ref="K110:P110"/>
    <mergeCell ref="C111:H111"/>
    <mergeCell ref="K111:P111"/>
    <mergeCell ref="B112:B122"/>
    <mergeCell ref="C112:C116"/>
    <mergeCell ref="D112:D116"/>
    <mergeCell ref="E112:E122"/>
    <mergeCell ref="K112:K122"/>
    <mergeCell ref="B123:J124"/>
    <mergeCell ref="O123:O124"/>
    <mergeCell ref="P123:P124"/>
    <mergeCell ref="B125:F125"/>
    <mergeCell ref="G125:K125"/>
    <mergeCell ref="L125:P125"/>
    <mergeCell ref="L112:L122"/>
    <mergeCell ref="M112:M122"/>
    <mergeCell ref="N112:N122"/>
    <mergeCell ref="O112:O122"/>
    <mergeCell ref="P112:P122"/>
    <mergeCell ref="C117:C122"/>
    <mergeCell ref="D117:D122"/>
    <mergeCell ref="B126:F132"/>
    <mergeCell ref="G126:K132"/>
    <mergeCell ref="L126:N126"/>
    <mergeCell ref="O126:P126"/>
    <mergeCell ref="L127:N127"/>
    <mergeCell ref="O127:P127"/>
    <mergeCell ref="L128:P130"/>
    <mergeCell ref="L131:O131"/>
    <mergeCell ref="L132:O132"/>
    <mergeCell ref="B137:P137"/>
    <mergeCell ref="A138:C138"/>
    <mergeCell ref="D138:I138"/>
    <mergeCell ref="J138:K138"/>
    <mergeCell ref="L138:P138"/>
    <mergeCell ref="B133:P133"/>
    <mergeCell ref="A134:P134"/>
    <mergeCell ref="B135:F135"/>
    <mergeCell ref="G135:K135"/>
    <mergeCell ref="L135:P135"/>
    <mergeCell ref="B136:F136"/>
    <mergeCell ref="G136:K136"/>
    <mergeCell ref="L136:P136"/>
  </mergeCells>
  <printOptions horizontalCentered="1"/>
  <pageMargins left="0.35433070866141736" right="0.23622047244094491" top="0.74803149606299213" bottom="0.74803149606299213" header="0.19685039370078741" footer="0.31496062992125984"/>
  <pageSetup scale="63" fitToHeight="0" orientation="portrait" r:id="rId1"/>
  <headerFooter>
    <oddHeader>&amp;C&amp;"-,Negrita Cursiva"&amp;12Protocolo integrado de aforo en ríos de montaña Universidad Nacional de Colombia-Sede Manizales</oddHeader>
  </headerFooter>
  <drawing r:id="rId2"/>
  <picture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113"/>
  <sheetViews>
    <sheetView view="pageBreakPreview" zoomScaleSheetLayoutView="100" zoomScalePageLayoutView="110" workbookViewId="0">
      <selection activeCell="H5" sqref="H5:P5"/>
    </sheetView>
  </sheetViews>
  <sheetFormatPr baseColWidth="10" defaultColWidth="11.42578125" defaultRowHeight="15" x14ac:dyDescent="0.25"/>
  <cols>
    <col min="1" max="1" width="0.140625" customWidth="1"/>
    <col min="2" max="2" width="9.5703125" customWidth="1"/>
    <col min="3" max="16" width="10.7109375" customWidth="1"/>
  </cols>
  <sheetData>
    <row r="1" spans="1:26" ht="4.9000000000000004" customHeight="1" thickBot="1" x14ac:dyDescent="0.3">
      <c r="J1" s="17"/>
    </row>
    <row r="2" spans="1:26" s="2" customFormat="1" ht="30" customHeight="1" x14ac:dyDescent="0.25">
      <c r="A2" s="315"/>
      <c r="B2" s="316"/>
      <c r="C2" s="317"/>
      <c r="D2" s="318"/>
      <c r="E2" s="319" t="s">
        <v>123</v>
      </c>
      <c r="F2" s="320"/>
      <c r="G2" s="320"/>
      <c r="H2" s="320"/>
      <c r="I2" s="320"/>
      <c r="J2" s="320"/>
      <c r="K2" s="320"/>
      <c r="L2" s="320"/>
      <c r="M2" s="320"/>
      <c r="N2" s="320"/>
      <c r="O2" s="321"/>
      <c r="P2" s="322"/>
    </row>
    <row r="3" spans="1:26" s="2" customFormat="1" ht="24" customHeight="1" thickBot="1" x14ac:dyDescent="0.3">
      <c r="A3" s="315"/>
      <c r="B3" s="323"/>
      <c r="C3" s="324"/>
      <c r="D3" s="325"/>
      <c r="E3" s="326"/>
      <c r="F3" s="327"/>
      <c r="G3" s="327"/>
      <c r="H3" s="327"/>
      <c r="I3" s="327"/>
      <c r="J3" s="327"/>
      <c r="K3" s="327"/>
      <c r="L3" s="327"/>
      <c r="M3" s="327"/>
      <c r="N3" s="327"/>
      <c r="O3" s="328"/>
      <c r="P3" s="329"/>
    </row>
    <row r="4" spans="1:26" s="19" customFormat="1" ht="11.25" customHeight="1" thickBot="1" x14ac:dyDescent="0.3">
      <c r="A4" s="18"/>
      <c r="B4" s="296"/>
      <c r="C4" s="225"/>
      <c r="D4" s="225"/>
      <c r="E4" s="225"/>
      <c r="F4" s="225"/>
      <c r="G4" s="225"/>
      <c r="H4" s="225"/>
      <c r="I4" s="225"/>
      <c r="J4" s="225"/>
      <c r="K4" s="225"/>
      <c r="L4" s="225"/>
      <c r="M4" s="225"/>
      <c r="N4" s="225"/>
      <c r="O4" s="225"/>
      <c r="P4" s="225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s="26" customFormat="1" ht="31.5" customHeight="1" thickBot="1" x14ac:dyDescent="0.3">
      <c r="A5" s="20"/>
      <c r="B5" s="21" t="s">
        <v>0</v>
      </c>
      <c r="C5" s="297">
        <v>43075</v>
      </c>
      <c r="D5" s="298"/>
      <c r="E5" s="22" t="s">
        <v>1</v>
      </c>
      <c r="F5" s="23">
        <v>2</v>
      </c>
      <c r="G5" s="24" t="s">
        <v>2</v>
      </c>
      <c r="H5" s="299" t="s">
        <v>124</v>
      </c>
      <c r="I5" s="300"/>
      <c r="J5" s="300"/>
      <c r="K5" s="300"/>
      <c r="L5" s="300"/>
      <c r="M5" s="300"/>
      <c r="N5" s="300"/>
      <c r="O5" s="300"/>
      <c r="P5" s="301"/>
      <c r="Q5" s="25"/>
      <c r="R5" s="25"/>
      <c r="S5" s="25"/>
      <c r="T5" s="25"/>
      <c r="U5" s="25"/>
      <c r="V5" s="25"/>
      <c r="W5" s="25"/>
      <c r="X5" s="25"/>
      <c r="Y5" s="25"/>
      <c r="Z5" s="25"/>
    </row>
    <row r="6" spans="1:26" s="31" customFormat="1" ht="21.75" customHeight="1" thickBot="1" x14ac:dyDescent="0.3">
      <c r="A6" s="27"/>
      <c r="B6" s="280" t="s">
        <v>3</v>
      </c>
      <c r="C6" s="281"/>
      <c r="D6" s="282" t="s">
        <v>109</v>
      </c>
      <c r="E6" s="283"/>
      <c r="F6" s="283"/>
      <c r="G6" s="283"/>
      <c r="H6" s="283"/>
      <c r="I6" s="284"/>
      <c r="J6" s="28" t="s">
        <v>4</v>
      </c>
      <c r="K6" s="285" t="s">
        <v>110</v>
      </c>
      <c r="L6" s="284"/>
      <c r="M6" s="285" t="s">
        <v>111</v>
      </c>
      <c r="N6" s="286"/>
      <c r="O6" s="29" t="s">
        <v>55</v>
      </c>
      <c r="P6" s="30">
        <v>1788</v>
      </c>
    </row>
    <row r="7" spans="1:26" s="26" customFormat="1" ht="21.75" customHeight="1" x14ac:dyDescent="0.25">
      <c r="B7" s="287" t="s">
        <v>56</v>
      </c>
      <c r="C7" s="288" t="s">
        <v>57</v>
      </c>
      <c r="D7" s="258"/>
      <c r="E7" s="32"/>
      <c r="F7" s="289" t="s">
        <v>58</v>
      </c>
      <c r="G7" s="290"/>
      <c r="H7" s="290"/>
      <c r="I7" s="290"/>
      <c r="J7" s="291" t="s">
        <v>59</v>
      </c>
      <c r="K7" s="292"/>
      <c r="L7" s="292"/>
      <c r="M7" s="293"/>
      <c r="N7" s="294" t="s">
        <v>95</v>
      </c>
      <c r="O7" s="295"/>
      <c r="P7" s="33" t="s">
        <v>60</v>
      </c>
    </row>
    <row r="8" spans="1:26" s="26" customFormat="1" ht="21.75" customHeight="1" thickBot="1" x14ac:dyDescent="0.3">
      <c r="B8" s="232"/>
      <c r="C8" s="249" t="s">
        <v>61</v>
      </c>
      <c r="D8" s="248"/>
      <c r="E8" s="34" t="s">
        <v>54</v>
      </c>
      <c r="F8" s="259" t="s">
        <v>6</v>
      </c>
      <c r="G8" s="260"/>
      <c r="H8" s="260"/>
      <c r="I8" s="260"/>
      <c r="J8" s="261"/>
      <c r="K8" s="262"/>
      <c r="L8" s="262"/>
      <c r="M8" s="263"/>
      <c r="N8" s="264"/>
      <c r="O8" s="265"/>
      <c r="P8" s="35"/>
    </row>
    <row r="9" spans="1:26" s="26" customFormat="1" ht="21.75" customHeight="1" x14ac:dyDescent="0.25">
      <c r="B9" s="266" t="s">
        <v>7</v>
      </c>
      <c r="C9" s="269" t="s">
        <v>62</v>
      </c>
      <c r="D9" s="270" t="s">
        <v>63</v>
      </c>
      <c r="E9" s="255"/>
      <c r="F9" s="36"/>
      <c r="G9" s="271" t="s">
        <v>8</v>
      </c>
      <c r="H9" s="272" t="s">
        <v>9</v>
      </c>
      <c r="I9" s="258"/>
      <c r="J9" s="37"/>
      <c r="K9" s="269" t="s">
        <v>64</v>
      </c>
      <c r="L9" s="273" t="s">
        <v>113</v>
      </c>
      <c r="M9" s="274"/>
      <c r="N9" s="275"/>
      <c r="O9" s="275"/>
      <c r="P9" s="276"/>
    </row>
    <row r="10" spans="1:26" s="26" customFormat="1" ht="21.75" customHeight="1" thickBot="1" x14ac:dyDescent="0.3">
      <c r="B10" s="267"/>
      <c r="C10" s="212"/>
      <c r="D10" s="253" t="s">
        <v>66</v>
      </c>
      <c r="E10" s="248"/>
      <c r="F10" s="38" t="s">
        <v>54</v>
      </c>
      <c r="G10" s="212"/>
      <c r="H10" s="253" t="s">
        <v>10</v>
      </c>
      <c r="I10" s="248"/>
      <c r="J10" s="39" t="s">
        <v>54</v>
      </c>
      <c r="K10" s="212"/>
      <c r="L10" s="277"/>
      <c r="M10" s="278"/>
      <c r="N10" s="278"/>
      <c r="O10" s="278"/>
      <c r="P10" s="279"/>
    </row>
    <row r="11" spans="1:26" s="26" customFormat="1" ht="21.75" customHeight="1" x14ac:dyDescent="0.25">
      <c r="A11" s="20"/>
      <c r="B11" s="267"/>
      <c r="C11" s="254" t="s">
        <v>11</v>
      </c>
      <c r="D11" s="255"/>
      <c r="E11" s="40">
        <v>0.36805555555555558</v>
      </c>
      <c r="F11" s="256" t="s">
        <v>12</v>
      </c>
      <c r="G11" s="255"/>
      <c r="H11" s="41">
        <v>0.93</v>
      </c>
      <c r="I11" s="257" t="s">
        <v>13</v>
      </c>
      <c r="J11" s="258"/>
      <c r="K11" s="41">
        <v>17</v>
      </c>
      <c r="L11" s="254" t="s">
        <v>14</v>
      </c>
      <c r="M11" s="255"/>
      <c r="N11" s="42">
        <v>6</v>
      </c>
      <c r="O11" s="245" t="s">
        <v>67</v>
      </c>
      <c r="P11" s="246"/>
    </row>
    <row r="12" spans="1:26" s="26" customFormat="1" ht="21.75" customHeight="1" thickBot="1" x14ac:dyDescent="0.3">
      <c r="A12" s="20"/>
      <c r="B12" s="268"/>
      <c r="C12" s="247" t="s">
        <v>15</v>
      </c>
      <c r="D12" s="248"/>
      <c r="E12" s="40">
        <v>0.42708333333333331</v>
      </c>
      <c r="F12" s="249" t="s">
        <v>16</v>
      </c>
      <c r="G12" s="248"/>
      <c r="H12" s="41">
        <v>0.91</v>
      </c>
      <c r="I12" s="250" t="s">
        <v>17</v>
      </c>
      <c r="J12" s="248"/>
      <c r="K12" s="40">
        <v>0.3576388888888889</v>
      </c>
      <c r="L12" s="247" t="s">
        <v>18</v>
      </c>
      <c r="M12" s="248"/>
      <c r="N12" s="43">
        <v>0.5</v>
      </c>
      <c r="O12" s="251">
        <v>2.2000000000000002</v>
      </c>
      <c r="P12" s="252"/>
    </row>
    <row r="13" spans="1:26" s="26" customFormat="1" ht="21.75" customHeight="1" x14ac:dyDescent="0.25">
      <c r="A13" s="20"/>
      <c r="B13" s="230" t="s">
        <v>19</v>
      </c>
      <c r="C13" s="233" t="s">
        <v>96</v>
      </c>
      <c r="D13" s="234"/>
      <c r="E13" s="234"/>
      <c r="F13" s="235" t="s">
        <v>97</v>
      </c>
      <c r="G13" s="234"/>
      <c r="H13" s="234"/>
      <c r="I13" s="234"/>
      <c r="J13" s="235" t="s">
        <v>98</v>
      </c>
      <c r="K13" s="234"/>
      <c r="L13" s="234"/>
      <c r="M13" s="234"/>
      <c r="N13" s="236" t="s">
        <v>99</v>
      </c>
      <c r="O13" s="234"/>
      <c r="P13" s="237"/>
      <c r="Q13" s="44"/>
      <c r="R13" s="25"/>
      <c r="S13" s="25"/>
      <c r="T13" s="25"/>
      <c r="U13" s="25"/>
      <c r="V13" s="25"/>
      <c r="W13" s="25"/>
      <c r="X13" s="25"/>
      <c r="Y13" s="25"/>
      <c r="Z13" s="25"/>
    </row>
    <row r="14" spans="1:26" s="26" customFormat="1" ht="21.75" customHeight="1" x14ac:dyDescent="0.25">
      <c r="A14" s="20"/>
      <c r="B14" s="231"/>
      <c r="C14" s="238" t="s">
        <v>100</v>
      </c>
      <c r="D14" s="239"/>
      <c r="E14" s="239"/>
      <c r="F14" s="240" t="s">
        <v>101</v>
      </c>
      <c r="G14" s="239"/>
      <c r="H14" s="239"/>
      <c r="I14" s="239"/>
      <c r="J14" s="241" t="s">
        <v>102</v>
      </c>
      <c r="K14" s="239"/>
      <c r="L14" s="239"/>
      <c r="M14" s="239"/>
      <c r="N14" s="242"/>
      <c r="O14" s="227"/>
      <c r="P14" s="243"/>
      <c r="Q14" s="25"/>
      <c r="R14" s="25"/>
      <c r="S14" s="25"/>
      <c r="T14" s="25"/>
      <c r="U14" s="25"/>
      <c r="V14" s="25"/>
      <c r="W14" s="25"/>
      <c r="X14" s="25"/>
      <c r="Y14" s="25"/>
      <c r="Z14" s="25"/>
    </row>
    <row r="15" spans="1:26" s="26" customFormat="1" ht="21.75" customHeight="1" thickBot="1" x14ac:dyDescent="0.3">
      <c r="A15" s="20"/>
      <c r="B15" s="232"/>
      <c r="C15" s="244" t="s">
        <v>103</v>
      </c>
      <c r="D15" s="214"/>
      <c r="E15" s="214"/>
      <c r="F15" s="214" t="s">
        <v>104</v>
      </c>
      <c r="G15" s="215"/>
      <c r="H15" s="215"/>
      <c r="I15" s="215"/>
      <c r="J15" s="214" t="s">
        <v>68</v>
      </c>
      <c r="K15" s="215"/>
      <c r="L15" s="215"/>
      <c r="M15" s="215"/>
      <c r="N15" s="216"/>
      <c r="O15" s="217"/>
      <c r="P15" s="218"/>
      <c r="Q15" s="25"/>
      <c r="R15" s="25"/>
      <c r="S15" s="25"/>
      <c r="T15" s="25"/>
      <c r="U15" s="25"/>
      <c r="V15" s="25"/>
      <c r="W15" s="25"/>
      <c r="X15" s="25"/>
      <c r="Y15" s="25"/>
      <c r="Z15" s="25"/>
    </row>
    <row r="16" spans="1:26" s="26" customFormat="1" ht="21.75" customHeight="1" x14ac:dyDescent="0.25">
      <c r="A16" s="20"/>
      <c r="B16" s="219" t="s">
        <v>20</v>
      </c>
      <c r="C16" s="221" t="s">
        <v>21</v>
      </c>
      <c r="D16" s="221" t="s">
        <v>42</v>
      </c>
      <c r="E16" s="223" t="s">
        <v>22</v>
      </c>
      <c r="F16" s="224" t="s">
        <v>43</v>
      </c>
      <c r="G16" s="225"/>
      <c r="H16" s="221" t="s">
        <v>69</v>
      </c>
      <c r="I16" s="228" t="s">
        <v>70</v>
      </c>
      <c r="J16" s="45" t="s">
        <v>44</v>
      </c>
      <c r="K16" s="46"/>
      <c r="L16" s="47" t="s">
        <v>45</v>
      </c>
      <c r="M16" s="47" t="s">
        <v>46</v>
      </c>
      <c r="N16" s="47" t="s">
        <v>46</v>
      </c>
      <c r="O16" s="47" t="s">
        <v>47</v>
      </c>
      <c r="P16" s="48" t="s">
        <v>23</v>
      </c>
    </row>
    <row r="17" spans="1:26" s="26" customFormat="1" ht="21.75" customHeight="1" thickBot="1" x14ac:dyDescent="0.3">
      <c r="A17" s="49"/>
      <c r="B17" s="220"/>
      <c r="C17" s="222"/>
      <c r="D17" s="222"/>
      <c r="E17" s="222"/>
      <c r="F17" s="226"/>
      <c r="G17" s="227"/>
      <c r="H17" s="222"/>
      <c r="I17" s="229"/>
      <c r="J17" s="50" t="s">
        <v>24</v>
      </c>
      <c r="K17" s="51" t="s">
        <v>25</v>
      </c>
      <c r="L17" s="51" t="s">
        <v>48</v>
      </c>
      <c r="M17" s="51" t="s">
        <v>49</v>
      </c>
      <c r="N17" s="51" t="s">
        <v>26</v>
      </c>
      <c r="O17" s="51" t="s">
        <v>27</v>
      </c>
      <c r="P17" s="52" t="s">
        <v>28</v>
      </c>
    </row>
    <row r="18" spans="1:26" s="61" customFormat="1" ht="21.75" customHeight="1" thickBot="1" x14ac:dyDescent="0.3">
      <c r="A18" s="53"/>
      <c r="B18" s="54"/>
      <c r="C18" s="55">
        <f>O12</f>
        <v>2.2000000000000002</v>
      </c>
      <c r="D18" s="55">
        <v>4.4999999999999998E-2</v>
      </c>
      <c r="E18" s="56"/>
      <c r="F18" s="57"/>
      <c r="G18" s="62"/>
      <c r="H18" s="58"/>
      <c r="I18" s="59"/>
      <c r="J18" s="63"/>
      <c r="K18" s="56"/>
      <c r="L18" s="56"/>
      <c r="M18" s="56"/>
      <c r="N18" s="56"/>
      <c r="O18" s="56"/>
      <c r="P18" s="60"/>
      <c r="Q18" s="53"/>
      <c r="R18" s="53"/>
      <c r="S18" s="53"/>
      <c r="T18" s="53"/>
      <c r="U18" s="53"/>
      <c r="V18" s="53"/>
      <c r="W18" s="53"/>
      <c r="X18" s="53"/>
      <c r="Y18" s="53"/>
      <c r="Z18" s="53"/>
    </row>
    <row r="19" spans="1:26" s="61" customFormat="1" ht="13.5" customHeight="1" x14ac:dyDescent="0.25">
      <c r="A19" s="53"/>
      <c r="B19" s="210">
        <v>1</v>
      </c>
      <c r="C19" s="213">
        <f>+C18+$N$12</f>
        <v>2.7</v>
      </c>
      <c r="D19" s="190">
        <v>0.04</v>
      </c>
      <c r="E19" s="190">
        <v>7.4999999999999997E-2</v>
      </c>
      <c r="F19" s="64" t="s">
        <v>71</v>
      </c>
      <c r="G19" s="65">
        <v>0</v>
      </c>
      <c r="H19" s="66"/>
      <c r="I19" s="67"/>
      <c r="J19" s="68"/>
      <c r="K19" s="190">
        <f>+IF(E19&lt;=0.12,(J21),(IF(E19&lt;0.16,((J20+2*J21+J22)/4),IF(E19&gt;=0.16,((J19+3*J20+2*J21+3*J22+J23)/10)))))</f>
        <v>3.2000000000000001E-2</v>
      </c>
      <c r="L19" s="190">
        <f>ROUND(+(D18+D19)/2*(C19-C18),3)</f>
        <v>2.1000000000000001E-2</v>
      </c>
      <c r="M19" s="190">
        <f>ROUND(+K19*L19,4)</f>
        <v>6.9999999999999999E-4</v>
      </c>
      <c r="N19" s="193">
        <f>ROUND(+M19/$M$98*100,2)</f>
        <v>0.31</v>
      </c>
      <c r="O19" s="194"/>
      <c r="P19" s="195"/>
      <c r="Q19" s="53"/>
      <c r="R19" s="53"/>
      <c r="S19" s="53"/>
      <c r="T19" s="53"/>
      <c r="U19" s="53"/>
      <c r="V19" s="53"/>
      <c r="W19" s="53"/>
      <c r="X19" s="53"/>
      <c r="Y19" s="53"/>
      <c r="Z19" s="53"/>
    </row>
    <row r="20" spans="1:26" s="61" customFormat="1" ht="13.5" customHeight="1" x14ac:dyDescent="0.25">
      <c r="A20" s="53"/>
      <c r="B20" s="211"/>
      <c r="C20" s="191"/>
      <c r="D20" s="191"/>
      <c r="E20" s="191"/>
      <c r="F20" s="69" t="s">
        <v>72</v>
      </c>
      <c r="G20" s="70" t="str">
        <f>IF(E19&lt;0.125,"NA",IF(0.125&lt;=E19,(0.2*E19)))</f>
        <v>NA</v>
      </c>
      <c r="H20" s="71"/>
      <c r="I20" s="72"/>
      <c r="J20" s="73"/>
      <c r="K20" s="191"/>
      <c r="L20" s="191"/>
      <c r="M20" s="191"/>
      <c r="N20" s="191"/>
      <c r="O20" s="191"/>
      <c r="P20" s="196"/>
      <c r="Q20" s="53"/>
      <c r="R20" s="53"/>
      <c r="S20" s="53"/>
      <c r="T20" s="53"/>
      <c r="U20" s="53"/>
      <c r="V20" s="53"/>
      <c r="W20" s="53"/>
      <c r="X20" s="53"/>
      <c r="Y20" s="53"/>
      <c r="Z20" s="53"/>
    </row>
    <row r="21" spans="1:26" s="61" customFormat="1" ht="13.5" customHeight="1" x14ac:dyDescent="0.25">
      <c r="A21" s="53"/>
      <c r="B21" s="211"/>
      <c r="C21" s="191"/>
      <c r="D21" s="191"/>
      <c r="E21" s="191"/>
      <c r="F21" s="69" t="s">
        <v>73</v>
      </c>
      <c r="G21" s="70">
        <f>+E19*0.4</f>
        <v>0.03</v>
      </c>
      <c r="H21" s="71"/>
      <c r="I21" s="72"/>
      <c r="J21" s="73">
        <v>3.2000000000000001E-2</v>
      </c>
      <c r="K21" s="191"/>
      <c r="L21" s="191"/>
      <c r="M21" s="191"/>
      <c r="N21" s="191"/>
      <c r="O21" s="191"/>
      <c r="P21" s="196"/>
      <c r="Q21" s="53"/>
      <c r="R21" s="53"/>
      <c r="S21" s="53"/>
      <c r="T21" s="53"/>
      <c r="U21" s="53"/>
      <c r="V21" s="53"/>
      <c r="W21" s="53"/>
      <c r="X21" s="53"/>
      <c r="Y21" s="53"/>
      <c r="Z21" s="53"/>
    </row>
    <row r="22" spans="1:26" s="61" customFormat="1" ht="13.5" customHeight="1" x14ac:dyDescent="0.25">
      <c r="A22" s="53"/>
      <c r="B22" s="211"/>
      <c r="C22" s="191"/>
      <c r="D22" s="191"/>
      <c r="E22" s="191"/>
      <c r="F22" s="69" t="s">
        <v>74</v>
      </c>
      <c r="G22" s="70" t="str">
        <f>IF(E19&lt;0.125,"NA",IF(0.125&lt;=E19,(0.8*E19)))</f>
        <v>NA</v>
      </c>
      <c r="H22" s="71"/>
      <c r="I22" s="72"/>
      <c r="J22" s="73"/>
      <c r="K22" s="191"/>
      <c r="L22" s="191"/>
      <c r="M22" s="191"/>
      <c r="N22" s="191"/>
      <c r="O22" s="191"/>
      <c r="P22" s="196"/>
      <c r="Q22" s="53"/>
      <c r="R22" s="53"/>
      <c r="S22" s="53"/>
      <c r="T22" s="53"/>
      <c r="U22" s="53"/>
      <c r="V22" s="53"/>
      <c r="W22" s="53"/>
      <c r="X22" s="53"/>
      <c r="Y22" s="53"/>
      <c r="Z22" s="53"/>
    </row>
    <row r="23" spans="1:26" s="61" customFormat="1" ht="13.5" customHeight="1" thickBot="1" x14ac:dyDescent="0.3">
      <c r="A23" s="53"/>
      <c r="B23" s="212"/>
      <c r="C23" s="192"/>
      <c r="D23" s="192"/>
      <c r="E23" s="192"/>
      <c r="F23" s="74" t="s">
        <v>75</v>
      </c>
      <c r="G23" s="75">
        <f>+E19</f>
        <v>7.4999999999999997E-2</v>
      </c>
      <c r="H23" s="76"/>
      <c r="I23" s="77"/>
      <c r="J23" s="78"/>
      <c r="K23" s="192"/>
      <c r="L23" s="192"/>
      <c r="M23" s="192"/>
      <c r="N23" s="192"/>
      <c r="O23" s="192"/>
      <c r="P23" s="197"/>
      <c r="Q23" s="53"/>
      <c r="R23" s="53"/>
      <c r="S23" s="53"/>
      <c r="T23" s="53"/>
      <c r="U23" s="53"/>
      <c r="V23" s="53"/>
      <c r="W23" s="53"/>
      <c r="X23" s="53"/>
      <c r="Y23" s="53"/>
      <c r="Z23" s="53"/>
    </row>
    <row r="24" spans="1:26" s="61" customFormat="1" ht="13.5" customHeight="1" x14ac:dyDescent="0.25">
      <c r="A24" s="53"/>
      <c r="B24" s="210">
        <v>2</v>
      </c>
      <c r="C24" s="213">
        <f>+C19+$N$12</f>
        <v>3.2</v>
      </c>
      <c r="D24" s="190">
        <v>0.22500000000000001</v>
      </c>
      <c r="E24" s="190">
        <v>0.06</v>
      </c>
      <c r="F24" s="64" t="s">
        <v>71</v>
      </c>
      <c r="G24" s="65">
        <v>0</v>
      </c>
      <c r="H24" s="66"/>
      <c r="I24" s="67"/>
      <c r="J24" s="68"/>
      <c r="K24" s="190">
        <f t="shared" ref="K24" si="0">+IF(E24&lt;=0.12,(J26),(IF(E24&lt;0.16,((J25+2*J26+J27)/4),IF(E24&gt;=0.16,((J24+3*J25+2*J26+3*J27+J28)/10)))))</f>
        <v>4.5999999999999999E-2</v>
      </c>
      <c r="L24" s="190">
        <f>ROUND(+(D19+D24)/2*(C24-C19),3)</f>
        <v>6.6000000000000003E-2</v>
      </c>
      <c r="M24" s="190">
        <f t="shared" ref="M24" si="1">ROUND(+K24*L24,4)</f>
        <v>3.0000000000000001E-3</v>
      </c>
      <c r="N24" s="193">
        <f t="shared" ref="N24" si="2">ROUND(+M24/$M$98*100,2)</f>
        <v>1.35</v>
      </c>
      <c r="O24" s="194"/>
      <c r="P24" s="195"/>
      <c r="Q24" s="53"/>
      <c r="R24" s="53"/>
      <c r="S24" s="53"/>
      <c r="T24" s="53"/>
      <c r="U24" s="53"/>
      <c r="V24" s="53"/>
      <c r="W24" s="53"/>
      <c r="X24" s="53"/>
      <c r="Y24" s="53"/>
      <c r="Z24" s="53"/>
    </row>
    <row r="25" spans="1:26" s="61" customFormat="1" ht="13.5" customHeight="1" x14ac:dyDescent="0.25">
      <c r="A25" s="53"/>
      <c r="B25" s="211"/>
      <c r="C25" s="191"/>
      <c r="D25" s="191"/>
      <c r="E25" s="191"/>
      <c r="F25" s="69" t="s">
        <v>72</v>
      </c>
      <c r="G25" s="70" t="str">
        <f t="shared" ref="G25" si="3">IF(E24&lt;0.125,"NA",IF(0.125&lt;=E24,(0.2*E24)))</f>
        <v>NA</v>
      </c>
      <c r="H25" s="71"/>
      <c r="I25" s="72"/>
      <c r="J25" s="73"/>
      <c r="K25" s="191"/>
      <c r="L25" s="191"/>
      <c r="M25" s="191"/>
      <c r="N25" s="191"/>
      <c r="O25" s="191"/>
      <c r="P25" s="196"/>
      <c r="Q25" s="53"/>
      <c r="R25" s="53"/>
      <c r="S25" s="53"/>
      <c r="T25" s="53"/>
      <c r="U25" s="53"/>
      <c r="V25" s="53"/>
      <c r="W25" s="53"/>
      <c r="X25" s="53"/>
      <c r="Y25" s="53"/>
      <c r="Z25" s="53"/>
    </row>
    <row r="26" spans="1:26" s="61" customFormat="1" ht="13.5" customHeight="1" x14ac:dyDescent="0.25">
      <c r="A26" s="53"/>
      <c r="B26" s="211"/>
      <c r="C26" s="191"/>
      <c r="D26" s="191"/>
      <c r="E26" s="191"/>
      <c r="F26" s="69" t="s">
        <v>73</v>
      </c>
      <c r="G26" s="70">
        <f t="shared" ref="G26" si="4">+E24*0.4</f>
        <v>2.4E-2</v>
      </c>
      <c r="H26" s="71"/>
      <c r="I26" s="72"/>
      <c r="J26" s="73">
        <v>4.5999999999999999E-2</v>
      </c>
      <c r="K26" s="191"/>
      <c r="L26" s="191"/>
      <c r="M26" s="191"/>
      <c r="N26" s="191"/>
      <c r="O26" s="191"/>
      <c r="P26" s="196"/>
      <c r="Q26" s="53"/>
      <c r="R26" s="53"/>
      <c r="S26" s="53"/>
      <c r="T26" s="53"/>
      <c r="U26" s="53"/>
      <c r="V26" s="53"/>
      <c r="W26" s="53"/>
      <c r="X26" s="53"/>
      <c r="Y26" s="53"/>
      <c r="Z26" s="53"/>
    </row>
    <row r="27" spans="1:26" s="61" customFormat="1" ht="13.5" customHeight="1" x14ac:dyDescent="0.25">
      <c r="A27" s="53"/>
      <c r="B27" s="211"/>
      <c r="C27" s="191"/>
      <c r="D27" s="191"/>
      <c r="E27" s="191"/>
      <c r="F27" s="69" t="s">
        <v>74</v>
      </c>
      <c r="G27" s="70" t="str">
        <f t="shared" ref="G27" si="5">IF(E24&lt;0.125,"NA",IF(0.125&lt;=E24,(0.8*E24)))</f>
        <v>NA</v>
      </c>
      <c r="H27" s="71"/>
      <c r="I27" s="72"/>
      <c r="J27" s="73"/>
      <c r="K27" s="191"/>
      <c r="L27" s="191"/>
      <c r="M27" s="191"/>
      <c r="N27" s="191"/>
      <c r="O27" s="191"/>
      <c r="P27" s="196"/>
      <c r="Q27" s="53"/>
      <c r="R27" s="53"/>
      <c r="S27" s="53"/>
      <c r="T27" s="53"/>
      <c r="U27" s="53"/>
      <c r="V27" s="53"/>
      <c r="W27" s="53"/>
      <c r="X27" s="53"/>
      <c r="Y27" s="53"/>
      <c r="Z27" s="53"/>
    </row>
    <row r="28" spans="1:26" s="61" customFormat="1" ht="13.5" customHeight="1" thickBot="1" x14ac:dyDescent="0.3">
      <c r="A28" s="53"/>
      <c r="B28" s="212"/>
      <c r="C28" s="192"/>
      <c r="D28" s="192"/>
      <c r="E28" s="192"/>
      <c r="F28" s="74" t="s">
        <v>75</v>
      </c>
      <c r="G28" s="75">
        <f t="shared" ref="G28" si="6">+E24</f>
        <v>0.06</v>
      </c>
      <c r="H28" s="76"/>
      <c r="I28" s="77"/>
      <c r="J28" s="78"/>
      <c r="K28" s="192"/>
      <c r="L28" s="192"/>
      <c r="M28" s="192"/>
      <c r="N28" s="192"/>
      <c r="O28" s="192"/>
      <c r="P28" s="197"/>
      <c r="Q28" s="53"/>
      <c r="R28" s="53"/>
      <c r="S28" s="53"/>
      <c r="T28" s="53"/>
      <c r="U28" s="53"/>
      <c r="V28" s="53"/>
      <c r="W28" s="53"/>
      <c r="X28" s="53"/>
      <c r="Y28" s="53"/>
      <c r="Z28" s="53"/>
    </row>
    <row r="29" spans="1:26" s="61" customFormat="1" ht="13.5" customHeight="1" x14ac:dyDescent="0.25">
      <c r="A29" s="53"/>
      <c r="B29" s="210">
        <v>3</v>
      </c>
      <c r="C29" s="213">
        <f>+C24+$N$12</f>
        <v>3.7</v>
      </c>
      <c r="D29" s="190">
        <v>0.27500000000000002</v>
      </c>
      <c r="E29" s="190">
        <v>0.23499999999999999</v>
      </c>
      <c r="F29" s="64" t="s">
        <v>71</v>
      </c>
      <c r="G29" s="65">
        <v>0</v>
      </c>
      <c r="H29" s="66"/>
      <c r="I29" s="67"/>
      <c r="J29" s="68">
        <v>5.33E-2</v>
      </c>
      <c r="K29" s="190">
        <f t="shared" ref="K29" si="7">+IF(E29&lt;=0.12,(J31),(IF(E29&lt;0.16,((J30+2*J31+J32)/4),IF(E29&gt;=0.16,((J29+3*J30+2*J31+3*J32+J33)/10)))))</f>
        <v>6.9910000000000014E-2</v>
      </c>
      <c r="L29" s="190">
        <f>ROUND(+(D24+D29)/2*(C29-C24),3)</f>
        <v>0.125</v>
      </c>
      <c r="M29" s="190">
        <f t="shared" ref="M29" si="8">ROUND(+K29*L29,4)</f>
        <v>8.6999999999999994E-3</v>
      </c>
      <c r="N29" s="193">
        <f t="shared" ref="N29" si="9">ROUND(+M29/$M$98*100,2)</f>
        <v>3.91</v>
      </c>
      <c r="O29" s="194"/>
      <c r="P29" s="195"/>
      <c r="Q29" s="53"/>
      <c r="R29" s="53"/>
      <c r="S29" s="53"/>
      <c r="T29" s="53"/>
      <c r="U29" s="53"/>
      <c r="V29" s="53"/>
      <c r="W29" s="53"/>
      <c r="X29" s="53"/>
      <c r="Y29" s="53"/>
      <c r="Z29" s="53"/>
    </row>
    <row r="30" spans="1:26" s="61" customFormat="1" ht="13.5" customHeight="1" x14ac:dyDescent="0.25">
      <c r="A30" s="53"/>
      <c r="B30" s="211"/>
      <c r="C30" s="191"/>
      <c r="D30" s="191"/>
      <c r="E30" s="191"/>
      <c r="F30" s="69" t="s">
        <v>72</v>
      </c>
      <c r="G30" s="70">
        <f t="shared" ref="G30" si="10">IF(E29&lt;0.125,"NA",IF(0.125&lt;=E29,(0.2*E29)))</f>
        <v>4.7E-2</v>
      </c>
      <c r="H30" s="71"/>
      <c r="I30" s="72"/>
      <c r="J30" s="73">
        <v>6.720000000000001E-2</v>
      </c>
      <c r="K30" s="191"/>
      <c r="L30" s="191"/>
      <c r="M30" s="191"/>
      <c r="N30" s="191"/>
      <c r="O30" s="191"/>
      <c r="P30" s="196"/>
      <c r="Q30" s="53"/>
      <c r="R30" s="53"/>
      <c r="S30" s="53"/>
      <c r="T30" s="53"/>
      <c r="U30" s="53"/>
      <c r="V30" s="53"/>
      <c r="W30" s="53"/>
      <c r="X30" s="53"/>
      <c r="Y30" s="53"/>
      <c r="Z30" s="53"/>
    </row>
    <row r="31" spans="1:26" s="61" customFormat="1" ht="13.5" customHeight="1" x14ac:dyDescent="0.25">
      <c r="A31" s="53"/>
      <c r="B31" s="211"/>
      <c r="C31" s="191"/>
      <c r="D31" s="191"/>
      <c r="E31" s="191"/>
      <c r="F31" s="69" t="s">
        <v>73</v>
      </c>
      <c r="G31" s="70">
        <f t="shared" ref="G31" si="11">+E29*0.4</f>
        <v>9.4E-2</v>
      </c>
      <c r="H31" s="71"/>
      <c r="I31" s="72"/>
      <c r="J31" s="73">
        <v>7.3400000000000007E-2</v>
      </c>
      <c r="K31" s="191"/>
      <c r="L31" s="191"/>
      <c r="M31" s="191"/>
      <c r="N31" s="191"/>
      <c r="O31" s="191"/>
      <c r="P31" s="196"/>
      <c r="Q31" s="53"/>
      <c r="R31" s="53"/>
      <c r="S31" s="53"/>
      <c r="T31" s="53"/>
      <c r="U31" s="53"/>
      <c r="V31" s="53"/>
      <c r="W31" s="53"/>
      <c r="X31" s="53"/>
      <c r="Y31" s="53"/>
      <c r="Z31" s="53"/>
    </row>
    <row r="32" spans="1:26" s="61" customFormat="1" ht="13.5" customHeight="1" x14ac:dyDescent="0.25">
      <c r="A32" s="53"/>
      <c r="B32" s="211"/>
      <c r="C32" s="191"/>
      <c r="D32" s="191"/>
      <c r="E32" s="191"/>
      <c r="F32" s="69" t="s">
        <v>74</v>
      </c>
      <c r="G32" s="70">
        <f t="shared" ref="G32" si="12">IF(E29&lt;0.125,"NA",IF(0.125&lt;=E29,(0.8*E29)))</f>
        <v>0.188</v>
      </c>
      <c r="H32" s="71"/>
      <c r="I32" s="72"/>
      <c r="J32" s="73">
        <v>7.400000000000001E-2</v>
      </c>
      <c r="K32" s="191"/>
      <c r="L32" s="191"/>
      <c r="M32" s="191"/>
      <c r="N32" s="191"/>
      <c r="O32" s="191"/>
      <c r="P32" s="196"/>
      <c r="Q32" s="53"/>
      <c r="R32" s="53"/>
      <c r="S32" s="53"/>
      <c r="T32" s="53"/>
      <c r="U32" s="53"/>
      <c r="V32" s="53"/>
      <c r="W32" s="53"/>
      <c r="X32" s="53"/>
      <c r="Y32" s="53"/>
      <c r="Z32" s="53"/>
    </row>
    <row r="33" spans="1:26" s="61" customFormat="1" ht="13.5" customHeight="1" thickBot="1" x14ac:dyDescent="0.3">
      <c r="A33" s="53"/>
      <c r="B33" s="212"/>
      <c r="C33" s="192"/>
      <c r="D33" s="192"/>
      <c r="E33" s="192"/>
      <c r="F33" s="74" t="s">
        <v>75</v>
      </c>
      <c r="G33" s="75">
        <f t="shared" ref="G33" si="13">+E29</f>
        <v>0.23499999999999999</v>
      </c>
      <c r="H33" s="76"/>
      <c r="I33" s="77"/>
      <c r="J33" s="78">
        <v>7.5399999999999995E-2</v>
      </c>
      <c r="K33" s="192"/>
      <c r="L33" s="192"/>
      <c r="M33" s="192"/>
      <c r="N33" s="192"/>
      <c r="O33" s="192"/>
      <c r="P33" s="197"/>
      <c r="Q33" s="53"/>
      <c r="R33" s="53"/>
      <c r="S33" s="53"/>
      <c r="T33" s="53"/>
      <c r="U33" s="53"/>
      <c r="V33" s="53"/>
      <c r="W33" s="53"/>
      <c r="X33" s="53"/>
      <c r="Y33" s="53"/>
      <c r="Z33" s="53"/>
    </row>
    <row r="34" spans="1:26" s="61" customFormat="1" ht="13.5" customHeight="1" x14ac:dyDescent="0.25">
      <c r="A34" s="53"/>
      <c r="B34" s="210">
        <v>4</v>
      </c>
      <c r="C34" s="213">
        <f>+C29+$N$12</f>
        <v>4.2</v>
      </c>
      <c r="D34" s="190">
        <v>0.38800000000000001</v>
      </c>
      <c r="E34" s="190">
        <v>0.38500000000000001</v>
      </c>
      <c r="F34" s="64" t="s">
        <v>71</v>
      </c>
      <c r="G34" s="65">
        <v>0</v>
      </c>
      <c r="H34" s="66"/>
      <c r="I34" s="67"/>
      <c r="J34" s="68">
        <v>7.2499999999999995E-2</v>
      </c>
      <c r="K34" s="190">
        <f t="shared" ref="K34" si="14">+IF(E34&lt;=0.12,(J36),(IF(E34&lt;0.16,((J35+2*J36+J37)/4),IF(E34&gt;=0.16,((J34+3*J35+2*J36+3*J37+J38)/10)))))</f>
        <v>9.5630000000000007E-2</v>
      </c>
      <c r="L34" s="190">
        <f t="shared" ref="L34" si="15">ROUND(+(D29+D34)/2*(C34-C29),3)</f>
        <v>0.16600000000000001</v>
      </c>
      <c r="M34" s="190">
        <f t="shared" ref="M34" si="16">ROUND(+K34*L34,4)</f>
        <v>1.5900000000000001E-2</v>
      </c>
      <c r="N34" s="193">
        <f t="shared" ref="N34" si="17">ROUND(+M34/$M$98*100,2)</f>
        <v>7.14</v>
      </c>
      <c r="O34" s="194"/>
      <c r="P34" s="195"/>
      <c r="Q34" s="53"/>
      <c r="R34" s="53"/>
      <c r="S34" s="53"/>
      <c r="T34" s="53"/>
      <c r="U34" s="53"/>
      <c r="V34" s="53"/>
      <c r="W34" s="53"/>
      <c r="X34" s="53"/>
      <c r="Y34" s="53"/>
      <c r="Z34" s="53"/>
    </row>
    <row r="35" spans="1:26" s="61" customFormat="1" ht="13.5" customHeight="1" x14ac:dyDescent="0.25">
      <c r="A35" s="53"/>
      <c r="B35" s="211"/>
      <c r="C35" s="191"/>
      <c r="D35" s="191"/>
      <c r="E35" s="191"/>
      <c r="F35" s="69" t="s">
        <v>72</v>
      </c>
      <c r="G35" s="70">
        <f t="shared" ref="G35" si="18">IF(E34&lt;0.125,"NA",IF(0.125&lt;=E34,(0.2*E34)))</f>
        <v>7.7000000000000013E-2</v>
      </c>
      <c r="H35" s="71"/>
      <c r="I35" s="72"/>
      <c r="J35" s="73">
        <v>7.2099999999999997E-2</v>
      </c>
      <c r="K35" s="191"/>
      <c r="L35" s="191"/>
      <c r="M35" s="191"/>
      <c r="N35" s="191"/>
      <c r="O35" s="191"/>
      <c r="P35" s="196"/>
      <c r="Q35" s="53"/>
      <c r="R35" s="53"/>
      <c r="S35" s="53"/>
      <c r="T35" s="53"/>
      <c r="U35" s="53"/>
      <c r="V35" s="53"/>
      <c r="W35" s="53"/>
      <c r="X35" s="53"/>
      <c r="Y35" s="53"/>
      <c r="Z35" s="53"/>
    </row>
    <row r="36" spans="1:26" s="61" customFormat="1" ht="13.5" customHeight="1" x14ac:dyDescent="0.25">
      <c r="A36" s="53"/>
      <c r="B36" s="211"/>
      <c r="C36" s="191"/>
      <c r="D36" s="191"/>
      <c r="E36" s="191"/>
      <c r="F36" s="69" t="s">
        <v>73</v>
      </c>
      <c r="G36" s="70">
        <f t="shared" ref="G36" si="19">+E34*0.4</f>
        <v>0.15400000000000003</v>
      </c>
      <c r="H36" s="71"/>
      <c r="I36" s="72"/>
      <c r="J36" s="73">
        <v>0.1235</v>
      </c>
      <c r="K36" s="191"/>
      <c r="L36" s="191"/>
      <c r="M36" s="191"/>
      <c r="N36" s="191"/>
      <c r="O36" s="191"/>
      <c r="P36" s="196"/>
      <c r="Q36" s="53"/>
      <c r="R36" s="53"/>
      <c r="S36" s="53"/>
      <c r="T36" s="53"/>
      <c r="U36" s="53"/>
      <c r="V36" s="53"/>
      <c r="W36" s="53"/>
      <c r="X36" s="53"/>
      <c r="Y36" s="53"/>
      <c r="Z36" s="53"/>
    </row>
    <row r="37" spans="1:26" s="61" customFormat="1" ht="13.5" customHeight="1" x14ac:dyDescent="0.25">
      <c r="A37" s="53"/>
      <c r="B37" s="211"/>
      <c r="C37" s="191"/>
      <c r="D37" s="191"/>
      <c r="E37" s="191"/>
      <c r="F37" s="69" t="s">
        <v>74</v>
      </c>
      <c r="G37" s="70">
        <f t="shared" ref="G37" si="20">IF(E34&lt;0.125,"NA",IF(0.125&lt;=E34,(0.8*E34)))</f>
        <v>0.30800000000000005</v>
      </c>
      <c r="H37" s="71"/>
      <c r="I37" s="72"/>
      <c r="J37" s="73">
        <v>0.1096</v>
      </c>
      <c r="K37" s="191"/>
      <c r="L37" s="191"/>
      <c r="M37" s="191"/>
      <c r="N37" s="191"/>
      <c r="O37" s="191"/>
      <c r="P37" s="196"/>
      <c r="Q37" s="53"/>
      <c r="R37" s="53"/>
      <c r="S37" s="53"/>
      <c r="T37" s="53"/>
      <c r="U37" s="53"/>
      <c r="V37" s="53"/>
      <c r="W37" s="53"/>
      <c r="X37" s="53"/>
      <c r="Y37" s="53"/>
      <c r="Z37" s="53"/>
    </row>
    <row r="38" spans="1:26" s="61" customFormat="1" ht="13.5" customHeight="1" thickBot="1" x14ac:dyDescent="0.3">
      <c r="A38" s="53"/>
      <c r="B38" s="212"/>
      <c r="C38" s="192"/>
      <c r="D38" s="192"/>
      <c r="E38" s="192"/>
      <c r="F38" s="74" t="s">
        <v>75</v>
      </c>
      <c r="G38" s="75">
        <f t="shared" ref="G38" si="21">+E34</f>
        <v>0.38500000000000001</v>
      </c>
      <c r="H38" s="76"/>
      <c r="I38" s="77"/>
      <c r="J38" s="78">
        <v>9.1700000000000004E-2</v>
      </c>
      <c r="K38" s="192"/>
      <c r="L38" s="192"/>
      <c r="M38" s="192"/>
      <c r="N38" s="192"/>
      <c r="O38" s="192"/>
      <c r="P38" s="197"/>
      <c r="Q38" s="53"/>
      <c r="R38" s="53"/>
      <c r="S38" s="53"/>
      <c r="T38" s="53"/>
      <c r="U38" s="53"/>
      <c r="V38" s="53"/>
      <c r="W38" s="53"/>
      <c r="X38" s="53"/>
      <c r="Y38" s="53"/>
      <c r="Z38" s="53"/>
    </row>
    <row r="39" spans="1:26" s="61" customFormat="1" ht="13.5" customHeight="1" x14ac:dyDescent="0.25">
      <c r="A39" s="53"/>
      <c r="B39" s="210">
        <v>5</v>
      </c>
      <c r="C39" s="213">
        <f>+C34+$N$12</f>
        <v>4.7</v>
      </c>
      <c r="D39" s="190">
        <v>0.36699999999999999</v>
      </c>
      <c r="E39" s="190">
        <v>0.36599999999999999</v>
      </c>
      <c r="F39" s="64" t="s">
        <v>71</v>
      </c>
      <c r="G39" s="65">
        <v>0</v>
      </c>
      <c r="H39" s="66"/>
      <c r="I39" s="67"/>
      <c r="J39" s="68">
        <v>8.1470000000000001E-2</v>
      </c>
      <c r="K39" s="190">
        <f t="shared" ref="K39" si="22">+IF(E39&lt;=0.12,(J41),(IF(E39&lt;0.16,((J40+2*J41+J42)/4),IF(E39&gt;=0.16,((J39+3*J40+2*J41+3*J42+J43)/10)))))</f>
        <v>0.17629899999999998</v>
      </c>
      <c r="L39" s="190">
        <f t="shared" ref="L39" si="23">ROUND(+(D34+D39)/2*(C39-C34),3)</f>
        <v>0.189</v>
      </c>
      <c r="M39" s="190">
        <f t="shared" ref="M39" si="24">ROUND(+K39*L39,4)</f>
        <v>3.3300000000000003E-2</v>
      </c>
      <c r="N39" s="193">
        <f t="shared" ref="N39" si="25">ROUND(+M39/$M$98*100,2)</f>
        <v>14.96</v>
      </c>
      <c r="O39" s="194"/>
      <c r="P39" s="195"/>
      <c r="Q39" s="53"/>
      <c r="R39" s="53"/>
      <c r="S39" s="53"/>
      <c r="T39" s="53"/>
      <c r="U39" s="53"/>
      <c r="V39" s="53"/>
      <c r="W39" s="53"/>
      <c r="X39" s="53"/>
      <c r="Y39" s="53"/>
      <c r="Z39" s="53"/>
    </row>
    <row r="40" spans="1:26" s="61" customFormat="1" ht="13.5" customHeight="1" x14ac:dyDescent="0.25">
      <c r="A40" s="53"/>
      <c r="B40" s="211"/>
      <c r="C40" s="191"/>
      <c r="D40" s="191"/>
      <c r="E40" s="191"/>
      <c r="F40" s="69" t="s">
        <v>72</v>
      </c>
      <c r="G40" s="70">
        <f t="shared" ref="G40" si="26">IF(E39&lt;0.125,"NA",IF(0.125&lt;=E39,(0.2*E39)))</f>
        <v>7.3200000000000001E-2</v>
      </c>
      <c r="H40" s="71"/>
      <c r="I40" s="72"/>
      <c r="J40" s="73">
        <v>0.14457999999999999</v>
      </c>
      <c r="K40" s="191"/>
      <c r="L40" s="191"/>
      <c r="M40" s="191"/>
      <c r="N40" s="191"/>
      <c r="O40" s="191"/>
      <c r="P40" s="196"/>
      <c r="Q40" s="53"/>
      <c r="R40" s="53"/>
      <c r="S40" s="53"/>
      <c r="T40" s="53"/>
      <c r="U40" s="53"/>
      <c r="V40" s="53"/>
      <c r="W40" s="53"/>
      <c r="X40" s="53"/>
      <c r="Y40" s="53"/>
      <c r="Z40" s="53"/>
    </row>
    <row r="41" spans="1:26" s="61" customFormat="1" ht="13.5" customHeight="1" x14ac:dyDescent="0.25">
      <c r="A41" s="53"/>
      <c r="B41" s="211"/>
      <c r="C41" s="191"/>
      <c r="D41" s="191"/>
      <c r="E41" s="191"/>
      <c r="F41" s="69" t="s">
        <v>73</v>
      </c>
      <c r="G41" s="70">
        <f t="shared" ref="G41" si="27">+E39*0.4</f>
        <v>0.1464</v>
      </c>
      <c r="H41" s="71"/>
      <c r="I41" s="72"/>
      <c r="J41" s="73">
        <v>0.16086</v>
      </c>
      <c r="K41" s="191"/>
      <c r="L41" s="191"/>
      <c r="M41" s="191"/>
      <c r="N41" s="191"/>
      <c r="O41" s="191"/>
      <c r="P41" s="196"/>
      <c r="Q41" s="53"/>
      <c r="R41" s="53"/>
      <c r="S41" s="53"/>
      <c r="T41" s="53"/>
      <c r="U41" s="53"/>
      <c r="V41" s="53"/>
      <c r="W41" s="53"/>
      <c r="X41" s="53"/>
      <c r="Y41" s="53"/>
      <c r="Z41" s="53"/>
    </row>
    <row r="42" spans="1:26" s="61" customFormat="1" ht="13.5" customHeight="1" x14ac:dyDescent="0.25">
      <c r="A42" s="53"/>
      <c r="B42" s="211"/>
      <c r="C42" s="191"/>
      <c r="D42" s="191"/>
      <c r="E42" s="191"/>
      <c r="F42" s="69" t="s">
        <v>74</v>
      </c>
      <c r="G42" s="70">
        <f t="shared" ref="G42" si="28">IF(E39&lt;0.125,"NA",IF(0.125&lt;=E39,(0.8*E39)))</f>
        <v>0.2928</v>
      </c>
      <c r="H42" s="71"/>
      <c r="I42" s="72"/>
      <c r="J42" s="73">
        <v>0.22749999999999998</v>
      </c>
      <c r="K42" s="191"/>
      <c r="L42" s="191"/>
      <c r="M42" s="191"/>
      <c r="N42" s="191"/>
      <c r="O42" s="191"/>
      <c r="P42" s="196"/>
      <c r="Q42" s="53"/>
      <c r="R42" s="53"/>
      <c r="S42" s="53"/>
      <c r="T42" s="53"/>
      <c r="U42" s="53"/>
      <c r="V42" s="53"/>
      <c r="W42" s="53"/>
      <c r="X42" s="53"/>
      <c r="Y42" s="53"/>
      <c r="Z42" s="53"/>
    </row>
    <row r="43" spans="1:26" s="61" customFormat="1" ht="13.5" customHeight="1" thickBot="1" x14ac:dyDescent="0.3">
      <c r="A43" s="53"/>
      <c r="B43" s="212"/>
      <c r="C43" s="192"/>
      <c r="D43" s="192"/>
      <c r="E43" s="192"/>
      <c r="F43" s="74" t="s">
        <v>75</v>
      </c>
      <c r="G43" s="75">
        <f t="shared" ref="G43" si="29">+E39</f>
        <v>0.36599999999999999</v>
      </c>
      <c r="H43" s="76"/>
      <c r="I43" s="77"/>
      <c r="J43" s="78">
        <v>0.24356</v>
      </c>
      <c r="K43" s="192"/>
      <c r="L43" s="192"/>
      <c r="M43" s="192"/>
      <c r="N43" s="192"/>
      <c r="O43" s="192"/>
      <c r="P43" s="197"/>
      <c r="Q43" s="53"/>
      <c r="R43" s="53"/>
      <c r="S43" s="53"/>
      <c r="T43" s="53"/>
      <c r="U43" s="53"/>
      <c r="V43" s="53"/>
      <c r="W43" s="53"/>
      <c r="X43" s="53"/>
      <c r="Y43" s="53"/>
      <c r="Z43" s="53"/>
    </row>
    <row r="44" spans="1:26" s="61" customFormat="1" ht="13.5" customHeight="1" x14ac:dyDescent="0.25">
      <c r="A44" s="53"/>
      <c r="B44" s="210">
        <v>6</v>
      </c>
      <c r="C44" s="213">
        <f>+C39+$N$12</f>
        <v>5.2</v>
      </c>
      <c r="D44" s="190">
        <v>0.39900000000000002</v>
      </c>
      <c r="E44" s="190">
        <v>0.46500000000000002</v>
      </c>
      <c r="F44" s="64" t="s">
        <v>71</v>
      </c>
      <c r="G44" s="65">
        <v>0</v>
      </c>
      <c r="H44" s="66"/>
      <c r="I44" s="67"/>
      <c r="J44" s="68">
        <v>0.10264999999999999</v>
      </c>
      <c r="K44" s="190">
        <f t="shared" ref="K44" si="30">+IF(E44&lt;=0.12,(J46),(IF(E44&lt;0.16,((J45+2*J46+J47)/4),IF(E44&gt;=0.16,((J44+3*J45+2*J46+3*J47+J48)/10)))))</f>
        <v>0.20386699999999996</v>
      </c>
      <c r="L44" s="190">
        <f>ROUND(+(D39+D44)/2*(C44-C39),3)</f>
        <v>0.192</v>
      </c>
      <c r="M44" s="190">
        <f t="shared" ref="M44" si="31">ROUND(+K44*L44,4)</f>
        <v>3.9100000000000003E-2</v>
      </c>
      <c r="N44" s="193">
        <f t="shared" ref="N44" si="32">ROUND(+M44/$M$98*100,2)</f>
        <v>17.57</v>
      </c>
      <c r="O44" s="194"/>
      <c r="P44" s="195"/>
      <c r="Q44" s="53"/>
      <c r="R44" s="53"/>
      <c r="S44" s="53"/>
      <c r="T44" s="53"/>
      <c r="U44" s="53"/>
      <c r="V44" s="53"/>
      <c r="W44" s="53"/>
      <c r="X44" s="53"/>
      <c r="Y44" s="53"/>
      <c r="Z44" s="53"/>
    </row>
    <row r="45" spans="1:26" s="61" customFormat="1" ht="13.5" customHeight="1" x14ac:dyDescent="0.25">
      <c r="A45" s="53"/>
      <c r="B45" s="211"/>
      <c r="C45" s="191"/>
      <c r="D45" s="191"/>
      <c r="E45" s="191"/>
      <c r="F45" s="69" t="s">
        <v>72</v>
      </c>
      <c r="G45" s="70">
        <f t="shared" ref="G45" si="33">IF(E44&lt;0.125,"NA",IF(0.125&lt;=E44,(0.2*E44)))</f>
        <v>9.3000000000000013E-2</v>
      </c>
      <c r="H45" s="71"/>
      <c r="I45" s="72"/>
      <c r="J45" s="73">
        <v>0.13319</v>
      </c>
      <c r="K45" s="191"/>
      <c r="L45" s="191"/>
      <c r="M45" s="191"/>
      <c r="N45" s="191"/>
      <c r="O45" s="191"/>
      <c r="P45" s="196"/>
      <c r="Q45" s="53"/>
      <c r="R45" s="53"/>
      <c r="S45" s="53"/>
      <c r="T45" s="53"/>
      <c r="U45" s="53"/>
      <c r="V45" s="53"/>
      <c r="W45" s="53"/>
      <c r="X45" s="53"/>
      <c r="Y45" s="53"/>
      <c r="Z45" s="53"/>
    </row>
    <row r="46" spans="1:26" s="61" customFormat="1" ht="13.5" customHeight="1" x14ac:dyDescent="0.25">
      <c r="A46" s="53"/>
      <c r="B46" s="211"/>
      <c r="C46" s="191"/>
      <c r="D46" s="191"/>
      <c r="E46" s="191"/>
      <c r="F46" s="69" t="s">
        <v>73</v>
      </c>
      <c r="G46" s="70">
        <f t="shared" ref="G46" si="34">+E44*0.4</f>
        <v>0.18600000000000003</v>
      </c>
      <c r="H46" s="71"/>
      <c r="I46" s="72"/>
      <c r="J46" s="73">
        <v>0.16925000000000001</v>
      </c>
      <c r="K46" s="191"/>
      <c r="L46" s="191"/>
      <c r="M46" s="191"/>
      <c r="N46" s="191"/>
      <c r="O46" s="191"/>
      <c r="P46" s="196"/>
      <c r="Q46" s="53"/>
      <c r="R46" s="53"/>
      <c r="S46" s="53"/>
      <c r="T46" s="53"/>
      <c r="U46" s="53"/>
      <c r="V46" s="53"/>
      <c r="W46" s="53"/>
      <c r="X46" s="53"/>
      <c r="Y46" s="53"/>
      <c r="Z46" s="53"/>
    </row>
    <row r="47" spans="1:26" s="61" customFormat="1" ht="13.5" customHeight="1" x14ac:dyDescent="0.25">
      <c r="A47" s="53"/>
      <c r="B47" s="211"/>
      <c r="C47" s="191"/>
      <c r="D47" s="191"/>
      <c r="E47" s="191"/>
      <c r="F47" s="69" t="s">
        <v>74</v>
      </c>
      <c r="G47" s="70">
        <f t="shared" ref="G47" si="35">IF(E44&lt;0.125,"NA",IF(0.125&lt;=E44,(0.8*E44)))</f>
        <v>0.37200000000000005</v>
      </c>
      <c r="H47" s="71"/>
      <c r="I47" s="72"/>
      <c r="J47" s="73">
        <v>0.29624</v>
      </c>
      <c r="K47" s="191"/>
      <c r="L47" s="191"/>
      <c r="M47" s="191"/>
      <c r="N47" s="191"/>
      <c r="O47" s="191"/>
      <c r="P47" s="196"/>
      <c r="Q47" s="53"/>
      <c r="R47" s="53"/>
      <c r="S47" s="53"/>
      <c r="T47" s="53"/>
      <c r="U47" s="53"/>
      <c r="V47" s="53"/>
      <c r="W47" s="53"/>
      <c r="X47" s="53"/>
      <c r="Y47" s="53"/>
      <c r="Z47" s="53"/>
    </row>
    <row r="48" spans="1:26" s="61" customFormat="1" ht="13.5" customHeight="1" thickBot="1" x14ac:dyDescent="0.3">
      <c r="A48" s="53"/>
      <c r="B48" s="212"/>
      <c r="C48" s="192"/>
      <c r="D48" s="192"/>
      <c r="E48" s="192"/>
      <c r="F48" s="74" t="s">
        <v>75</v>
      </c>
      <c r="G48" s="75">
        <f t="shared" ref="G48" si="36">+E44</f>
        <v>0.46500000000000002</v>
      </c>
      <c r="H48" s="76"/>
      <c r="I48" s="77"/>
      <c r="J48" s="78">
        <v>0.30923</v>
      </c>
      <c r="K48" s="192"/>
      <c r="L48" s="192"/>
      <c r="M48" s="192"/>
      <c r="N48" s="192"/>
      <c r="O48" s="192"/>
      <c r="P48" s="197"/>
      <c r="Q48" s="53"/>
      <c r="R48" s="53"/>
      <c r="S48" s="53"/>
      <c r="T48" s="53"/>
      <c r="U48" s="53"/>
      <c r="V48" s="53"/>
      <c r="W48" s="53"/>
      <c r="X48" s="53"/>
      <c r="Y48" s="53"/>
      <c r="Z48" s="53"/>
    </row>
    <row r="49" spans="1:26" s="61" customFormat="1" ht="13.5" customHeight="1" x14ac:dyDescent="0.25">
      <c r="A49" s="53"/>
      <c r="B49" s="210">
        <v>7</v>
      </c>
      <c r="C49" s="213">
        <f>+C44+$N$12</f>
        <v>5.7</v>
      </c>
      <c r="D49" s="190">
        <v>0.46200000000000002</v>
      </c>
      <c r="E49" s="190">
        <v>0.497</v>
      </c>
      <c r="F49" s="64" t="s">
        <v>71</v>
      </c>
      <c r="G49" s="65">
        <v>0</v>
      </c>
      <c r="H49" s="66"/>
      <c r="I49" s="67"/>
      <c r="J49" s="68"/>
      <c r="K49" s="190"/>
      <c r="L49" s="190"/>
      <c r="M49" s="190"/>
      <c r="N49" s="193"/>
      <c r="O49" s="194"/>
      <c r="P49" s="195"/>
      <c r="Q49" s="53"/>
      <c r="R49" s="53"/>
      <c r="S49" s="53"/>
      <c r="T49" s="53"/>
      <c r="U49" s="53"/>
      <c r="V49" s="53"/>
      <c r="W49" s="53"/>
      <c r="X49" s="53"/>
      <c r="Y49" s="53"/>
      <c r="Z49" s="53"/>
    </row>
    <row r="50" spans="1:26" s="61" customFormat="1" ht="13.5" customHeight="1" x14ac:dyDescent="0.25">
      <c r="A50" s="53"/>
      <c r="B50" s="211"/>
      <c r="C50" s="191"/>
      <c r="D50" s="191"/>
      <c r="E50" s="191"/>
      <c r="F50" s="69" t="s">
        <v>72</v>
      </c>
      <c r="G50" s="70">
        <f t="shared" ref="G50" si="37">IF(E49&lt;0.125,"NA",IF(0.125&lt;=E49,(0.2*E49)))</f>
        <v>9.9400000000000002E-2</v>
      </c>
      <c r="H50" s="71"/>
      <c r="I50" s="72"/>
      <c r="J50" s="73"/>
      <c r="K50" s="191"/>
      <c r="L50" s="191"/>
      <c r="M50" s="191"/>
      <c r="N50" s="191"/>
      <c r="O50" s="191"/>
      <c r="P50" s="196"/>
      <c r="Q50" s="53"/>
      <c r="R50" s="53"/>
      <c r="S50" s="53"/>
      <c r="T50" s="53"/>
      <c r="U50" s="53"/>
      <c r="V50" s="53"/>
      <c r="W50" s="53"/>
      <c r="X50" s="53"/>
      <c r="Y50" s="53"/>
      <c r="Z50" s="53"/>
    </row>
    <row r="51" spans="1:26" s="61" customFormat="1" ht="13.5" customHeight="1" x14ac:dyDescent="0.25">
      <c r="A51" s="53"/>
      <c r="B51" s="211"/>
      <c r="C51" s="191"/>
      <c r="D51" s="191"/>
      <c r="E51" s="191"/>
      <c r="F51" s="69" t="s">
        <v>73</v>
      </c>
      <c r="G51" s="70">
        <f t="shared" ref="G51" si="38">+E49*0.4</f>
        <v>0.1988</v>
      </c>
      <c r="H51" s="71"/>
      <c r="I51" s="72"/>
      <c r="J51" s="73"/>
      <c r="K51" s="191"/>
      <c r="L51" s="191"/>
      <c r="M51" s="191"/>
      <c r="N51" s="191"/>
      <c r="O51" s="191"/>
      <c r="P51" s="196"/>
      <c r="Q51" s="53"/>
      <c r="R51" s="53"/>
      <c r="S51" s="53"/>
      <c r="T51" s="53"/>
      <c r="U51" s="53"/>
      <c r="V51" s="53"/>
      <c r="W51" s="53"/>
      <c r="X51" s="53"/>
      <c r="Y51" s="53"/>
      <c r="Z51" s="53"/>
    </row>
    <row r="52" spans="1:26" s="61" customFormat="1" ht="13.5" customHeight="1" x14ac:dyDescent="0.25">
      <c r="A52" s="53"/>
      <c r="B52" s="211"/>
      <c r="C52" s="191"/>
      <c r="D52" s="191"/>
      <c r="E52" s="191"/>
      <c r="F52" s="69" t="s">
        <v>74</v>
      </c>
      <c r="G52" s="70">
        <f t="shared" ref="G52" si="39">IF(E49&lt;0.125,"NA",IF(0.125&lt;=E49,(0.8*E49)))</f>
        <v>0.39760000000000001</v>
      </c>
      <c r="H52" s="71"/>
      <c r="I52" s="72"/>
      <c r="J52" s="73"/>
      <c r="K52" s="191"/>
      <c r="L52" s="191"/>
      <c r="M52" s="191"/>
      <c r="N52" s="191"/>
      <c r="O52" s="191"/>
      <c r="P52" s="196"/>
      <c r="Q52" s="53"/>
      <c r="R52" s="53"/>
      <c r="S52" s="53"/>
      <c r="T52" s="53"/>
      <c r="U52" s="53"/>
      <c r="V52" s="53"/>
      <c r="W52" s="53"/>
      <c r="X52" s="53"/>
      <c r="Y52" s="53"/>
      <c r="Z52" s="53"/>
    </row>
    <row r="53" spans="1:26" s="61" customFormat="1" ht="13.5" customHeight="1" thickBot="1" x14ac:dyDescent="0.3">
      <c r="A53" s="53"/>
      <c r="B53" s="212"/>
      <c r="C53" s="192"/>
      <c r="D53" s="192"/>
      <c r="E53" s="192"/>
      <c r="F53" s="74" t="s">
        <v>75</v>
      </c>
      <c r="G53" s="75">
        <f t="shared" ref="G53" si="40">+E49</f>
        <v>0.497</v>
      </c>
      <c r="H53" s="76"/>
      <c r="I53" s="77"/>
      <c r="J53" s="78"/>
      <c r="K53" s="192"/>
      <c r="L53" s="192"/>
      <c r="M53" s="192"/>
      <c r="N53" s="192"/>
      <c r="O53" s="192"/>
      <c r="P53" s="197"/>
      <c r="Q53" s="53"/>
      <c r="R53" s="53"/>
      <c r="S53" s="53"/>
      <c r="T53" s="53"/>
      <c r="U53" s="53"/>
      <c r="V53" s="53"/>
      <c r="W53" s="53"/>
      <c r="X53" s="53"/>
      <c r="Y53" s="53"/>
      <c r="Z53" s="53"/>
    </row>
    <row r="54" spans="1:26" s="61" customFormat="1" ht="13.5" customHeight="1" x14ac:dyDescent="0.25">
      <c r="A54" s="53"/>
      <c r="B54" s="210">
        <v>8</v>
      </c>
      <c r="C54" s="213">
        <f>+C49+$N$12</f>
        <v>6.2</v>
      </c>
      <c r="D54" s="190">
        <v>0.33</v>
      </c>
      <c r="E54" s="190">
        <v>0.33900000000000002</v>
      </c>
      <c r="F54" s="64" t="s">
        <v>71</v>
      </c>
      <c r="G54" s="65">
        <v>0</v>
      </c>
      <c r="H54" s="66"/>
      <c r="I54" s="67"/>
      <c r="J54" s="68">
        <v>0.131823</v>
      </c>
      <c r="K54" s="190">
        <f t="shared" ref="K54" si="41">+IF(E54&lt;=0.12,(J56),(IF(E54&lt;0.16,((J55+2*J56+J57)/4),IF(E54&gt;=0.16,((J54+3*J55+2*J56+3*J57+J58)/10)))))</f>
        <v>0.16323910000000003</v>
      </c>
      <c r="L54" s="190">
        <f>ROUND(+(D49+D54)/2*(C54-C49),3)</f>
        <v>0.19800000000000001</v>
      </c>
      <c r="M54" s="190">
        <f t="shared" ref="M54" si="42">ROUND(+K54*L54,4)</f>
        <v>3.2300000000000002E-2</v>
      </c>
      <c r="N54" s="193">
        <f t="shared" ref="N54" si="43">ROUND(+M54/$M$98*100,2)</f>
        <v>14.51</v>
      </c>
      <c r="O54" s="194"/>
      <c r="P54" s="195"/>
      <c r="Q54" s="53"/>
      <c r="R54" s="53"/>
      <c r="S54" s="53"/>
      <c r="T54" s="53"/>
      <c r="U54" s="53"/>
      <c r="V54" s="53"/>
      <c r="W54" s="53"/>
      <c r="X54" s="53"/>
      <c r="Y54" s="53"/>
      <c r="Z54" s="53"/>
    </row>
    <row r="55" spans="1:26" s="61" customFormat="1" ht="13.5" customHeight="1" x14ac:dyDescent="0.25">
      <c r="A55" s="53"/>
      <c r="B55" s="211"/>
      <c r="C55" s="191"/>
      <c r="D55" s="191"/>
      <c r="E55" s="191"/>
      <c r="F55" s="69" t="s">
        <v>72</v>
      </c>
      <c r="G55" s="70">
        <f t="shared" ref="G55" si="44">IF(E54&lt;0.125,"NA",IF(0.125&lt;=E54,(0.2*E54)))</f>
        <v>6.7800000000000013E-2</v>
      </c>
      <c r="H55" s="71"/>
      <c r="I55" s="72"/>
      <c r="J55" s="73">
        <v>0.14922200000000002</v>
      </c>
      <c r="K55" s="191"/>
      <c r="L55" s="191"/>
      <c r="M55" s="191"/>
      <c r="N55" s="191"/>
      <c r="O55" s="191"/>
      <c r="P55" s="196"/>
      <c r="Q55" s="53"/>
      <c r="R55" s="53"/>
      <c r="S55" s="53"/>
      <c r="T55" s="53"/>
      <c r="U55" s="53"/>
      <c r="V55" s="53"/>
      <c r="W55" s="53"/>
      <c r="X55" s="53"/>
      <c r="Y55" s="53"/>
      <c r="Z55" s="53"/>
    </row>
    <row r="56" spans="1:26" s="61" customFormat="1" ht="13.5" customHeight="1" x14ac:dyDescent="0.25">
      <c r="A56" s="53"/>
      <c r="B56" s="211"/>
      <c r="C56" s="191"/>
      <c r="D56" s="191"/>
      <c r="E56" s="191"/>
      <c r="F56" s="69" t="s">
        <v>73</v>
      </c>
      <c r="G56" s="70">
        <f t="shared" ref="G56" si="45">+E54*0.4</f>
        <v>0.13560000000000003</v>
      </c>
      <c r="H56" s="71"/>
      <c r="I56" s="72"/>
      <c r="J56" s="73">
        <v>0.165574</v>
      </c>
      <c r="K56" s="191"/>
      <c r="L56" s="191"/>
      <c r="M56" s="191"/>
      <c r="N56" s="191"/>
      <c r="O56" s="191"/>
      <c r="P56" s="196"/>
      <c r="Q56" s="53"/>
      <c r="R56" s="53"/>
      <c r="S56" s="53"/>
      <c r="T56" s="53"/>
      <c r="U56" s="53"/>
      <c r="V56" s="53"/>
      <c r="W56" s="53"/>
      <c r="X56" s="53"/>
      <c r="Y56" s="53"/>
      <c r="Z56" s="53"/>
    </row>
    <row r="57" spans="1:26" s="61" customFormat="1" ht="13.5" customHeight="1" x14ac:dyDescent="0.25">
      <c r="A57" s="53"/>
      <c r="B57" s="211"/>
      <c r="C57" s="191"/>
      <c r="D57" s="191"/>
      <c r="E57" s="191"/>
      <c r="F57" s="69" t="s">
        <v>74</v>
      </c>
      <c r="G57" s="70">
        <f t="shared" ref="G57" si="46">IF(E54&lt;0.125,"NA",IF(0.125&lt;=E54,(0.8*E54)))</f>
        <v>0.27120000000000005</v>
      </c>
      <c r="H57" s="71"/>
      <c r="I57" s="72"/>
      <c r="J57" s="73">
        <v>0.17925000000000002</v>
      </c>
      <c r="K57" s="191"/>
      <c r="L57" s="191"/>
      <c r="M57" s="191"/>
      <c r="N57" s="191"/>
      <c r="O57" s="191"/>
      <c r="P57" s="196"/>
      <c r="Q57" s="53"/>
      <c r="R57" s="53"/>
      <c r="S57" s="53"/>
      <c r="T57" s="53"/>
      <c r="U57" s="53"/>
      <c r="V57" s="53"/>
      <c r="W57" s="53"/>
      <c r="X57" s="53"/>
      <c r="Y57" s="53"/>
      <c r="Z57" s="53"/>
    </row>
    <row r="58" spans="1:26" s="61" customFormat="1" ht="13.5" customHeight="1" thickBot="1" x14ac:dyDescent="0.3">
      <c r="A58" s="53"/>
      <c r="B58" s="212"/>
      <c r="C58" s="192"/>
      <c r="D58" s="192"/>
      <c r="E58" s="192"/>
      <c r="F58" s="74" t="s">
        <v>75</v>
      </c>
      <c r="G58" s="75">
        <f t="shared" ref="G58" si="47">+E54</f>
        <v>0.33900000000000002</v>
      </c>
      <c r="H58" s="76"/>
      <c r="I58" s="77"/>
      <c r="J58" s="78">
        <v>0.184004</v>
      </c>
      <c r="K58" s="192"/>
      <c r="L58" s="192"/>
      <c r="M58" s="192"/>
      <c r="N58" s="192"/>
      <c r="O58" s="192"/>
      <c r="P58" s="197"/>
      <c r="Q58" s="53"/>
      <c r="R58" s="53"/>
      <c r="S58" s="53"/>
      <c r="T58" s="53"/>
      <c r="U58" s="53"/>
      <c r="V58" s="53"/>
      <c r="W58" s="53"/>
      <c r="X58" s="53"/>
      <c r="Y58" s="53"/>
      <c r="Z58" s="53"/>
    </row>
    <row r="59" spans="1:26" s="61" customFormat="1" ht="13.5" customHeight="1" x14ac:dyDescent="0.25">
      <c r="A59" s="53"/>
      <c r="B59" s="210">
        <v>9</v>
      </c>
      <c r="C59" s="213">
        <f>+C54+$N$12</f>
        <v>6.7</v>
      </c>
      <c r="D59" s="190">
        <v>0.53600000000000003</v>
      </c>
      <c r="E59" s="190">
        <v>0.41599999999999998</v>
      </c>
      <c r="F59" s="64" t="s">
        <v>71</v>
      </c>
      <c r="G59" s="65">
        <v>0</v>
      </c>
      <c r="H59" s="66"/>
      <c r="I59" s="67"/>
      <c r="J59" s="68">
        <v>5.3084999999999993E-2</v>
      </c>
      <c r="K59" s="190">
        <f t="shared" ref="K59" si="48">+IF(E59&lt;=0.12,(J61),(IF(E59&lt;0.16,((J60+2*J61+J62)/4),IF(E59&gt;=0.16,((J59+3*J60+2*J61+3*J62+J63)/10)))))</f>
        <v>0.1270203</v>
      </c>
      <c r="L59" s="190">
        <f>ROUND(+(D54+D59)/2*(C59-C54),3)</f>
        <v>0.217</v>
      </c>
      <c r="M59" s="190">
        <f t="shared" ref="M59" si="49">ROUND(+K59*L59,4)</f>
        <v>2.76E-2</v>
      </c>
      <c r="N59" s="193">
        <f t="shared" ref="N59" si="50">ROUND(+M59/$M$98*100,2)</f>
        <v>12.4</v>
      </c>
      <c r="O59" s="194"/>
      <c r="P59" s="195"/>
      <c r="Q59" s="53"/>
      <c r="R59" s="53"/>
      <c r="S59" s="53"/>
      <c r="T59" s="53"/>
      <c r="U59" s="53"/>
      <c r="V59" s="53"/>
      <c r="W59" s="53"/>
      <c r="X59" s="53"/>
      <c r="Y59" s="53"/>
      <c r="Z59" s="53"/>
    </row>
    <row r="60" spans="1:26" s="61" customFormat="1" ht="13.5" customHeight="1" x14ac:dyDescent="0.25">
      <c r="A60" s="53"/>
      <c r="B60" s="211"/>
      <c r="C60" s="191"/>
      <c r="D60" s="191"/>
      <c r="E60" s="191"/>
      <c r="F60" s="69" t="s">
        <v>72</v>
      </c>
      <c r="G60" s="70">
        <f t="shared" ref="G60" si="51">IF(E59&lt;0.125,"NA",IF(0.125&lt;=E59,(0.2*E59)))</f>
        <v>8.3199999999999996E-2</v>
      </c>
      <c r="H60" s="71"/>
      <c r="I60" s="72"/>
      <c r="J60" s="73">
        <v>0.11357099999999999</v>
      </c>
      <c r="K60" s="191"/>
      <c r="L60" s="191"/>
      <c r="M60" s="191"/>
      <c r="N60" s="191"/>
      <c r="O60" s="191"/>
      <c r="P60" s="196"/>
      <c r="Q60" s="53"/>
      <c r="R60" s="53"/>
      <c r="S60" s="53"/>
      <c r="T60" s="53"/>
      <c r="U60" s="53"/>
      <c r="V60" s="53"/>
      <c r="W60" s="53"/>
      <c r="X60" s="53"/>
      <c r="Y60" s="53"/>
      <c r="Z60" s="53"/>
    </row>
    <row r="61" spans="1:26" s="61" customFormat="1" ht="13.5" customHeight="1" x14ac:dyDescent="0.25">
      <c r="A61" s="53"/>
      <c r="B61" s="211"/>
      <c r="C61" s="191"/>
      <c r="D61" s="191"/>
      <c r="E61" s="191"/>
      <c r="F61" s="69" t="s">
        <v>73</v>
      </c>
      <c r="G61" s="70">
        <f t="shared" ref="G61" si="52">+E59*0.4</f>
        <v>0.16639999999999999</v>
      </c>
      <c r="H61" s="71"/>
      <c r="I61" s="72"/>
      <c r="J61" s="73">
        <v>0.14832499999999998</v>
      </c>
      <c r="K61" s="191"/>
      <c r="L61" s="191"/>
      <c r="M61" s="191"/>
      <c r="N61" s="191"/>
      <c r="O61" s="191"/>
      <c r="P61" s="196"/>
      <c r="Q61" s="53"/>
      <c r="R61" s="53"/>
      <c r="S61" s="53"/>
      <c r="T61" s="53"/>
      <c r="U61" s="53"/>
      <c r="V61" s="53"/>
      <c r="W61" s="53"/>
      <c r="X61" s="53"/>
      <c r="Y61" s="53"/>
      <c r="Z61" s="53"/>
    </row>
    <row r="62" spans="1:26" s="61" customFormat="1" ht="13.5" customHeight="1" x14ac:dyDescent="0.25">
      <c r="A62" s="53"/>
      <c r="B62" s="211"/>
      <c r="C62" s="191"/>
      <c r="D62" s="191"/>
      <c r="E62" s="191"/>
      <c r="F62" s="69" t="s">
        <v>74</v>
      </c>
      <c r="G62" s="70">
        <f t="shared" ref="G62" si="53">IF(E59&lt;0.125,"NA",IF(0.125&lt;=E59,(0.8*E59)))</f>
        <v>0.33279999999999998</v>
      </c>
      <c r="H62" s="71"/>
      <c r="I62" s="72"/>
      <c r="J62" s="73">
        <v>0.15121600000000002</v>
      </c>
      <c r="K62" s="191"/>
      <c r="L62" s="191"/>
      <c r="M62" s="191"/>
      <c r="N62" s="191"/>
      <c r="O62" s="191"/>
      <c r="P62" s="196"/>
      <c r="Q62" s="53"/>
      <c r="R62" s="53"/>
      <c r="S62" s="53"/>
      <c r="T62" s="53"/>
      <c r="U62" s="53"/>
      <c r="V62" s="53"/>
      <c r="W62" s="53"/>
      <c r="X62" s="53"/>
      <c r="Y62" s="53"/>
      <c r="Z62" s="53"/>
    </row>
    <row r="63" spans="1:26" s="61" customFormat="1" ht="13.5" customHeight="1" thickBot="1" x14ac:dyDescent="0.3">
      <c r="A63" s="53"/>
      <c r="B63" s="212"/>
      <c r="C63" s="192"/>
      <c r="D63" s="192"/>
      <c r="E63" s="192"/>
      <c r="F63" s="74" t="s">
        <v>75</v>
      </c>
      <c r="G63" s="75">
        <f t="shared" ref="G63" si="54">+E59</f>
        <v>0.41599999999999998</v>
      </c>
      <c r="H63" s="76"/>
      <c r="I63" s="77"/>
      <c r="J63" s="78">
        <v>0.126107</v>
      </c>
      <c r="K63" s="192"/>
      <c r="L63" s="192"/>
      <c r="M63" s="192"/>
      <c r="N63" s="192"/>
      <c r="O63" s="192"/>
      <c r="P63" s="197"/>
      <c r="Q63" s="53"/>
      <c r="R63" s="53"/>
      <c r="S63" s="53"/>
      <c r="T63" s="53"/>
      <c r="U63" s="53"/>
      <c r="V63" s="53"/>
      <c r="W63" s="53"/>
      <c r="X63" s="53"/>
      <c r="Y63" s="53"/>
      <c r="Z63" s="53"/>
    </row>
    <row r="64" spans="1:26" s="61" customFormat="1" ht="13.5" customHeight="1" x14ac:dyDescent="0.25">
      <c r="A64" s="53"/>
      <c r="B64" s="210">
        <v>10</v>
      </c>
      <c r="C64" s="213">
        <f>+C59+$N$12</f>
        <v>7.2</v>
      </c>
      <c r="D64" s="190">
        <v>0.41799999999999998</v>
      </c>
      <c r="E64" s="190">
        <v>0.435</v>
      </c>
      <c r="F64" s="64" t="s">
        <v>71</v>
      </c>
      <c r="G64" s="65">
        <v>0</v>
      </c>
      <c r="H64" s="66"/>
      <c r="I64" s="67"/>
      <c r="J64" s="68">
        <v>2.2340699999999998E-2</v>
      </c>
      <c r="K64" s="190">
        <f t="shared" ref="K64" si="55">+IF(E64&lt;=0.12,(J66),(IF(E64&lt;0.16,((J65+2*J66+J67)/4),IF(E64&gt;=0.16,((J64+3*J65+2*J66+3*J67+J68)/10)))))</f>
        <v>3.240519E-2</v>
      </c>
      <c r="L64" s="190">
        <f t="shared" ref="L64" si="56">ROUND(+(D59+D64)/2*(C64-C59),3)</f>
        <v>0.23899999999999999</v>
      </c>
      <c r="M64" s="190">
        <f t="shared" ref="M64" si="57">ROUND(+K64*L64,4)</f>
        <v>7.7000000000000002E-3</v>
      </c>
      <c r="N64" s="193">
        <f t="shared" ref="N64" si="58">ROUND(+M64/$M$98*100,2)</f>
        <v>3.46</v>
      </c>
      <c r="O64" s="194"/>
      <c r="P64" s="195"/>
      <c r="Q64" s="53"/>
      <c r="R64" s="53"/>
      <c r="S64" s="53"/>
      <c r="T64" s="53"/>
      <c r="U64" s="53"/>
      <c r="V64" s="53"/>
      <c r="W64" s="53"/>
      <c r="X64" s="53"/>
      <c r="Y64" s="53"/>
      <c r="Z64" s="53"/>
    </row>
    <row r="65" spans="1:26" s="61" customFormat="1" ht="13.5" customHeight="1" x14ac:dyDescent="0.25">
      <c r="A65" s="53"/>
      <c r="B65" s="211"/>
      <c r="C65" s="191"/>
      <c r="D65" s="191"/>
      <c r="E65" s="191"/>
      <c r="F65" s="69" t="s">
        <v>72</v>
      </c>
      <c r="G65" s="70">
        <f t="shared" ref="G65" si="59">IF(E64&lt;0.125,"NA",IF(0.125&lt;=E64,(0.2*E64)))</f>
        <v>8.7000000000000008E-2</v>
      </c>
      <c r="H65" s="71"/>
      <c r="I65" s="72"/>
      <c r="J65" s="73">
        <v>2.9099800000000002E-2</v>
      </c>
      <c r="K65" s="191"/>
      <c r="L65" s="191"/>
      <c r="M65" s="191"/>
      <c r="N65" s="191"/>
      <c r="O65" s="191"/>
      <c r="P65" s="196"/>
      <c r="Q65" s="53"/>
      <c r="R65" s="53"/>
      <c r="S65" s="53"/>
      <c r="T65" s="53"/>
      <c r="U65" s="53"/>
      <c r="V65" s="53"/>
      <c r="W65" s="53"/>
      <c r="X65" s="53"/>
      <c r="Y65" s="53"/>
      <c r="Z65" s="53"/>
    </row>
    <row r="66" spans="1:26" s="61" customFormat="1" ht="13.5" customHeight="1" x14ac:dyDescent="0.25">
      <c r="A66" s="53"/>
      <c r="B66" s="211"/>
      <c r="C66" s="191"/>
      <c r="D66" s="191"/>
      <c r="E66" s="191"/>
      <c r="F66" s="69" t="s">
        <v>73</v>
      </c>
      <c r="G66" s="70">
        <f t="shared" ref="G66" si="60">+E64*0.4</f>
        <v>0.17400000000000002</v>
      </c>
      <c r="H66" s="71"/>
      <c r="I66" s="72"/>
      <c r="J66" s="73">
        <v>3.3516600000000001E-2</v>
      </c>
      <c r="K66" s="191"/>
      <c r="L66" s="191"/>
      <c r="M66" s="191"/>
      <c r="N66" s="191"/>
      <c r="O66" s="191"/>
      <c r="P66" s="196"/>
      <c r="Q66" s="53"/>
      <c r="R66" s="53"/>
      <c r="S66" s="53"/>
      <c r="T66" s="53"/>
      <c r="U66" s="53"/>
      <c r="V66" s="53"/>
      <c r="W66" s="53"/>
      <c r="X66" s="53"/>
      <c r="Y66" s="53"/>
      <c r="Z66" s="53"/>
    </row>
    <row r="67" spans="1:26" s="61" customFormat="1" ht="13.5" customHeight="1" x14ac:dyDescent="0.25">
      <c r="A67" s="53"/>
      <c r="B67" s="211"/>
      <c r="C67" s="191"/>
      <c r="D67" s="191"/>
      <c r="E67" s="191"/>
      <c r="F67" s="69" t="s">
        <v>74</v>
      </c>
      <c r="G67" s="70">
        <f t="shared" ref="G67" si="61">IF(E64&lt;0.125,"NA",IF(0.125&lt;=E64,(0.8*E64)))</f>
        <v>0.34800000000000003</v>
      </c>
      <c r="H67" s="71"/>
      <c r="I67" s="72"/>
      <c r="J67" s="73">
        <v>3.7225000000000001E-2</v>
      </c>
      <c r="K67" s="191"/>
      <c r="L67" s="191"/>
      <c r="M67" s="191"/>
      <c r="N67" s="191"/>
      <c r="O67" s="191"/>
      <c r="P67" s="196"/>
      <c r="Q67" s="53"/>
      <c r="R67" s="53"/>
      <c r="S67" s="53"/>
      <c r="T67" s="53"/>
      <c r="U67" s="53"/>
      <c r="V67" s="53"/>
      <c r="W67" s="53"/>
      <c r="X67" s="53"/>
      <c r="Y67" s="53"/>
      <c r="Z67" s="53"/>
    </row>
    <row r="68" spans="1:26" s="61" customFormat="1" ht="13.5" customHeight="1" thickBot="1" x14ac:dyDescent="0.3">
      <c r="A68" s="53"/>
      <c r="B68" s="212"/>
      <c r="C68" s="192"/>
      <c r="D68" s="192"/>
      <c r="E68" s="192"/>
      <c r="F68" s="74" t="s">
        <v>75</v>
      </c>
      <c r="G68" s="75">
        <f t="shared" ref="G68" si="62">+E64</f>
        <v>0.435</v>
      </c>
      <c r="H68" s="76"/>
      <c r="I68" s="77"/>
      <c r="J68" s="78">
        <v>3.5703600000000002E-2</v>
      </c>
      <c r="K68" s="192"/>
      <c r="L68" s="192"/>
      <c r="M68" s="192"/>
      <c r="N68" s="192"/>
      <c r="O68" s="192"/>
      <c r="P68" s="197"/>
      <c r="Q68" s="53"/>
      <c r="R68" s="53"/>
      <c r="S68" s="53"/>
      <c r="T68" s="53"/>
      <c r="U68" s="53"/>
      <c r="V68" s="53"/>
      <c r="W68" s="53"/>
      <c r="X68" s="53"/>
      <c r="Y68" s="53"/>
      <c r="Z68" s="53"/>
    </row>
    <row r="69" spans="1:26" s="61" customFormat="1" ht="13.5" customHeight="1" x14ac:dyDescent="0.25">
      <c r="A69" s="53"/>
      <c r="B69" s="210">
        <v>11</v>
      </c>
      <c r="C69" s="213">
        <f>+C64+$N$12</f>
        <v>7.7</v>
      </c>
      <c r="D69" s="190">
        <v>0.246</v>
      </c>
      <c r="E69" s="190">
        <v>0.26800000000000002</v>
      </c>
      <c r="F69" s="64" t="s">
        <v>71</v>
      </c>
      <c r="G69" s="65">
        <v>0</v>
      </c>
      <c r="H69" s="66"/>
      <c r="I69" s="67"/>
      <c r="J69" s="68">
        <v>5.1776499999999996E-2</v>
      </c>
      <c r="K69" s="190">
        <f t="shared" ref="K69" si="63">+IF(E69&lt;=0.12,(J71),(IF(E69&lt;0.16,((J70+2*J71+J72)/4),IF(E69&gt;=0.16,((J69+3*J70+2*J71+3*J72+J73)/10)))))</f>
        <v>6.5758269999999994E-2</v>
      </c>
      <c r="L69" s="190">
        <f t="shared" ref="L69" si="64">ROUND(+(D64+D69)/2*(C69-C64),3)</f>
        <v>0.16600000000000001</v>
      </c>
      <c r="M69" s="190">
        <f t="shared" ref="M69" si="65">ROUND(+K69*L69,4)</f>
        <v>1.09E-2</v>
      </c>
      <c r="N69" s="193">
        <f t="shared" ref="N69" si="66">ROUND(+M69/$M$98*100,2)</f>
        <v>4.9000000000000004</v>
      </c>
      <c r="O69" s="194"/>
      <c r="P69" s="195"/>
      <c r="Q69" s="53"/>
      <c r="R69" s="53"/>
      <c r="S69" s="53"/>
      <c r="T69" s="53"/>
      <c r="U69" s="53"/>
      <c r="V69" s="53"/>
      <c r="W69" s="53"/>
      <c r="X69" s="53"/>
      <c r="Y69" s="53"/>
      <c r="Z69" s="53"/>
    </row>
    <row r="70" spans="1:26" s="61" customFormat="1" ht="13.5" customHeight="1" x14ac:dyDescent="0.25">
      <c r="A70" s="53"/>
      <c r="B70" s="211"/>
      <c r="C70" s="191"/>
      <c r="D70" s="191"/>
      <c r="E70" s="191"/>
      <c r="F70" s="69" t="s">
        <v>72</v>
      </c>
      <c r="G70" s="70">
        <f t="shared" ref="G70" si="67">IF(E69&lt;0.125,"NA",IF(0.125&lt;=E69,(0.2*E69)))</f>
        <v>5.3600000000000009E-2</v>
      </c>
      <c r="H70" s="71"/>
      <c r="I70" s="72"/>
      <c r="J70" s="73">
        <v>6.2213900000000003E-2</v>
      </c>
      <c r="K70" s="191"/>
      <c r="L70" s="191"/>
      <c r="M70" s="191"/>
      <c r="N70" s="191"/>
      <c r="O70" s="191"/>
      <c r="P70" s="196"/>
      <c r="Q70" s="53"/>
      <c r="R70" s="53"/>
      <c r="S70" s="53"/>
      <c r="T70" s="53"/>
      <c r="U70" s="53"/>
      <c r="V70" s="53"/>
      <c r="W70" s="53"/>
      <c r="X70" s="53"/>
      <c r="Y70" s="53"/>
      <c r="Z70" s="53"/>
    </row>
    <row r="71" spans="1:26" s="61" customFormat="1" ht="13.5" customHeight="1" x14ac:dyDescent="0.25">
      <c r="A71" s="53"/>
      <c r="B71" s="211"/>
      <c r="C71" s="191"/>
      <c r="D71" s="191"/>
      <c r="E71" s="191"/>
      <c r="F71" s="69" t="s">
        <v>73</v>
      </c>
      <c r="G71" s="70">
        <f t="shared" ref="G71" si="68">+E69*0.4</f>
        <v>0.10720000000000002</v>
      </c>
      <c r="H71" s="71"/>
      <c r="I71" s="72"/>
      <c r="J71" s="73">
        <v>7.1692500000000006E-2</v>
      </c>
      <c r="K71" s="191"/>
      <c r="L71" s="191"/>
      <c r="M71" s="191"/>
      <c r="N71" s="191"/>
      <c r="O71" s="191"/>
      <c r="P71" s="196"/>
      <c r="Q71" s="53"/>
      <c r="R71" s="53"/>
      <c r="S71" s="53"/>
      <c r="T71" s="53"/>
      <c r="U71" s="53"/>
      <c r="V71" s="53"/>
      <c r="W71" s="53"/>
      <c r="X71" s="53"/>
      <c r="Y71" s="53"/>
      <c r="Z71" s="53"/>
    </row>
    <row r="72" spans="1:26" s="61" customFormat="1" ht="13.5" customHeight="1" x14ac:dyDescent="0.25">
      <c r="A72" s="53"/>
      <c r="B72" s="211"/>
      <c r="C72" s="191"/>
      <c r="D72" s="191"/>
      <c r="E72" s="191"/>
      <c r="F72" s="69" t="s">
        <v>74</v>
      </c>
      <c r="G72" s="70">
        <f t="shared" ref="G72" si="69">IF(E69&lt;0.125,"NA",IF(0.125&lt;=E69,(0.8*E69)))</f>
        <v>0.21440000000000003</v>
      </c>
      <c r="H72" s="71"/>
      <c r="I72" s="72"/>
      <c r="J72" s="73">
        <v>6.9494399999999998E-2</v>
      </c>
      <c r="K72" s="191"/>
      <c r="L72" s="191"/>
      <c r="M72" s="191"/>
      <c r="N72" s="191"/>
      <c r="O72" s="191"/>
      <c r="P72" s="196"/>
      <c r="Q72" s="53"/>
      <c r="R72" s="53"/>
      <c r="S72" s="53"/>
      <c r="T72" s="53"/>
      <c r="U72" s="53"/>
      <c r="V72" s="53"/>
      <c r="W72" s="53"/>
      <c r="X72" s="53"/>
      <c r="Y72" s="53"/>
      <c r="Z72" s="53"/>
    </row>
    <row r="73" spans="1:26" s="61" customFormat="1" ht="13.5" customHeight="1" thickBot="1" x14ac:dyDescent="0.3">
      <c r="A73" s="53"/>
      <c r="B73" s="212"/>
      <c r="C73" s="192"/>
      <c r="D73" s="192"/>
      <c r="E73" s="192"/>
      <c r="F73" s="74" t="s">
        <v>75</v>
      </c>
      <c r="G73" s="75">
        <f t="shared" ref="G73" si="70">+E69</f>
        <v>0.26800000000000002</v>
      </c>
      <c r="H73" s="76"/>
      <c r="I73" s="77"/>
      <c r="J73" s="78">
        <v>6.7296300000000003E-2</v>
      </c>
      <c r="K73" s="192"/>
      <c r="L73" s="192"/>
      <c r="M73" s="192"/>
      <c r="N73" s="192"/>
      <c r="O73" s="192"/>
      <c r="P73" s="197"/>
      <c r="Q73" s="53"/>
      <c r="R73" s="53"/>
      <c r="S73" s="53"/>
      <c r="T73" s="53"/>
      <c r="U73" s="53"/>
      <c r="V73" s="53"/>
      <c r="W73" s="53"/>
      <c r="X73" s="53"/>
      <c r="Y73" s="53"/>
      <c r="Z73" s="53"/>
    </row>
    <row r="74" spans="1:26" s="61" customFormat="1" ht="13.5" customHeight="1" x14ac:dyDescent="0.25">
      <c r="A74" s="53"/>
      <c r="B74" s="210">
        <v>12</v>
      </c>
      <c r="C74" s="213">
        <f>+C69+$N$12</f>
        <v>8.1999999999999993</v>
      </c>
      <c r="D74" s="190">
        <v>0.216</v>
      </c>
      <c r="E74" s="190">
        <v>0.20899999999999999</v>
      </c>
      <c r="F74" s="64" t="s">
        <v>71</v>
      </c>
      <c r="G74" s="65">
        <v>0</v>
      </c>
      <c r="H74" s="66"/>
      <c r="I74" s="67"/>
      <c r="J74" s="68">
        <v>2.3E-2</v>
      </c>
      <c r="K74" s="190">
        <f t="shared" ref="K74" si="71">+IF(E74&lt;=0.12,(J76),(IF(E74&lt;0.16,((J75+2*J76+J77)/4),IF(E74&gt;=0.16,((J74+3*J75+2*J76+3*J77+J78)/10)))))</f>
        <v>2.5399999999999999E-2</v>
      </c>
      <c r="L74" s="190">
        <f>ROUND(+(D69+D74)/2*(C74-C69),3)</f>
        <v>0.11600000000000001</v>
      </c>
      <c r="M74" s="190">
        <f t="shared" ref="M74" si="72">ROUND(+K74*L74,4)</f>
        <v>2.8999999999999998E-3</v>
      </c>
      <c r="N74" s="193">
        <f t="shared" ref="N74" si="73">ROUND(+M74/$M$98*100,2)</f>
        <v>1.3</v>
      </c>
      <c r="O74" s="194"/>
      <c r="P74" s="195"/>
      <c r="Q74" s="53"/>
      <c r="R74" s="53"/>
      <c r="S74" s="53"/>
      <c r="T74" s="53"/>
      <c r="U74" s="53"/>
      <c r="V74" s="53"/>
      <c r="W74" s="53"/>
      <c r="X74" s="53"/>
      <c r="Y74" s="53"/>
      <c r="Z74" s="53"/>
    </row>
    <row r="75" spans="1:26" s="61" customFormat="1" ht="13.5" customHeight="1" x14ac:dyDescent="0.25">
      <c r="A75" s="53"/>
      <c r="B75" s="211"/>
      <c r="C75" s="191"/>
      <c r="D75" s="191"/>
      <c r="E75" s="191"/>
      <c r="F75" s="69" t="s">
        <v>72</v>
      </c>
      <c r="G75" s="70">
        <f t="shared" ref="G75" si="74">IF(E74&lt;0.125,"NA",IF(0.125&lt;=E74,(0.2*E74)))</f>
        <v>4.1800000000000004E-2</v>
      </c>
      <c r="H75" s="71"/>
      <c r="I75" s="72"/>
      <c r="J75" s="73">
        <v>2.5000000000000001E-2</v>
      </c>
      <c r="K75" s="191"/>
      <c r="L75" s="191"/>
      <c r="M75" s="191"/>
      <c r="N75" s="191"/>
      <c r="O75" s="191"/>
      <c r="P75" s="196"/>
      <c r="Q75" s="53"/>
      <c r="R75" s="53"/>
      <c r="S75" s="53"/>
      <c r="T75" s="53"/>
      <c r="U75" s="53"/>
      <c r="V75" s="53"/>
      <c r="W75" s="53"/>
      <c r="X75" s="53"/>
      <c r="Y75" s="53"/>
      <c r="Z75" s="53"/>
    </row>
    <row r="76" spans="1:26" s="61" customFormat="1" ht="13.5" customHeight="1" x14ac:dyDescent="0.25">
      <c r="A76" s="53"/>
      <c r="B76" s="211"/>
      <c r="C76" s="191"/>
      <c r="D76" s="191"/>
      <c r="E76" s="191"/>
      <c r="F76" s="69" t="s">
        <v>73</v>
      </c>
      <c r="G76" s="70">
        <f t="shared" ref="G76" si="75">+E74*0.4</f>
        <v>8.3600000000000008E-2</v>
      </c>
      <c r="H76" s="71"/>
      <c r="I76" s="72"/>
      <c r="J76" s="73">
        <v>2.1000000000000001E-2</v>
      </c>
      <c r="K76" s="191"/>
      <c r="L76" s="191"/>
      <c r="M76" s="191"/>
      <c r="N76" s="191"/>
      <c r="O76" s="191"/>
      <c r="P76" s="196"/>
      <c r="Q76" s="53"/>
      <c r="R76" s="53"/>
      <c r="S76" s="53"/>
      <c r="T76" s="53"/>
      <c r="U76" s="53"/>
      <c r="V76" s="53"/>
      <c r="W76" s="53"/>
      <c r="X76" s="53"/>
      <c r="Y76" s="53"/>
      <c r="Z76" s="53"/>
    </row>
    <row r="77" spans="1:26" s="61" customFormat="1" ht="13.5" customHeight="1" x14ac:dyDescent="0.25">
      <c r="A77" s="53"/>
      <c r="B77" s="211"/>
      <c r="C77" s="191"/>
      <c r="D77" s="191"/>
      <c r="E77" s="191"/>
      <c r="F77" s="69" t="s">
        <v>74</v>
      </c>
      <c r="G77" s="70">
        <f t="shared" ref="G77" si="76">IF(E74&lt;0.125,"NA",IF(0.125&lt;=E74,(0.8*E74)))</f>
        <v>0.16720000000000002</v>
      </c>
      <c r="H77" s="71"/>
      <c r="I77" s="72"/>
      <c r="J77" s="73">
        <v>3.1E-2</v>
      </c>
      <c r="K77" s="191"/>
      <c r="L77" s="191"/>
      <c r="M77" s="191"/>
      <c r="N77" s="191"/>
      <c r="O77" s="191"/>
      <c r="P77" s="196"/>
      <c r="Q77" s="53"/>
      <c r="R77" s="53"/>
      <c r="S77" s="53"/>
      <c r="T77" s="53"/>
      <c r="U77" s="53"/>
      <c r="V77" s="53"/>
      <c r="W77" s="53"/>
      <c r="X77" s="53"/>
      <c r="Y77" s="53"/>
      <c r="Z77" s="53"/>
    </row>
    <row r="78" spans="1:26" s="61" customFormat="1" ht="13.5" customHeight="1" thickBot="1" x14ac:dyDescent="0.3">
      <c r="A78" s="53"/>
      <c r="B78" s="212"/>
      <c r="C78" s="192"/>
      <c r="D78" s="192"/>
      <c r="E78" s="192"/>
      <c r="F78" s="74" t="s">
        <v>75</v>
      </c>
      <c r="G78" s="75">
        <f t="shared" ref="G78" si="77">+E74</f>
        <v>0.20899999999999999</v>
      </c>
      <c r="H78" s="76"/>
      <c r="I78" s="77"/>
      <c r="J78" s="78">
        <v>2.1000000000000001E-2</v>
      </c>
      <c r="K78" s="192"/>
      <c r="L78" s="192"/>
      <c r="M78" s="192"/>
      <c r="N78" s="192"/>
      <c r="O78" s="192"/>
      <c r="P78" s="197"/>
      <c r="Q78" s="53"/>
      <c r="R78" s="53"/>
      <c r="S78" s="53"/>
      <c r="T78" s="53"/>
      <c r="U78" s="53"/>
      <c r="V78" s="53"/>
      <c r="W78" s="53"/>
      <c r="X78" s="53"/>
      <c r="Y78" s="53"/>
      <c r="Z78" s="53"/>
    </row>
    <row r="79" spans="1:26" s="3" customFormat="1" ht="14.1" customHeight="1" x14ac:dyDescent="0.2">
      <c r="B79" s="198" t="s">
        <v>29</v>
      </c>
      <c r="C79" s="201"/>
      <c r="D79" s="202"/>
      <c r="E79" s="202"/>
      <c r="F79" s="202"/>
      <c r="G79" s="202"/>
      <c r="H79" s="202"/>
      <c r="I79" s="202"/>
      <c r="J79" s="202"/>
      <c r="K79" s="202"/>
      <c r="L79" s="202"/>
      <c r="M79" s="202"/>
      <c r="N79" s="202"/>
      <c r="O79" s="202"/>
      <c r="P79" s="203"/>
    </row>
    <row r="80" spans="1:26" s="3" customFormat="1" ht="14.1" customHeight="1" x14ac:dyDescent="0.2">
      <c r="B80" s="199"/>
      <c r="C80" s="204"/>
      <c r="D80" s="205"/>
      <c r="E80" s="205"/>
      <c r="F80" s="205"/>
      <c r="G80" s="205"/>
      <c r="H80" s="205"/>
      <c r="I80" s="205"/>
      <c r="J80" s="205"/>
      <c r="K80" s="205"/>
      <c r="L80" s="205"/>
      <c r="M80" s="205"/>
      <c r="N80" s="205"/>
      <c r="O80" s="205"/>
      <c r="P80" s="206"/>
    </row>
    <row r="81" spans="1:26" s="3" customFormat="1" ht="14.1" customHeight="1" x14ac:dyDescent="0.2">
      <c r="B81" s="199"/>
      <c r="C81" s="204"/>
      <c r="D81" s="205"/>
      <c r="E81" s="205"/>
      <c r="F81" s="205"/>
      <c r="G81" s="205"/>
      <c r="H81" s="205"/>
      <c r="I81" s="205"/>
      <c r="J81" s="205"/>
      <c r="K81" s="205"/>
      <c r="L81" s="205"/>
      <c r="M81" s="205"/>
      <c r="N81" s="205"/>
      <c r="O81" s="205"/>
      <c r="P81" s="206"/>
    </row>
    <row r="82" spans="1:26" s="3" customFormat="1" ht="14.1" customHeight="1" x14ac:dyDescent="0.2">
      <c r="B82" s="199"/>
      <c r="C82" s="204"/>
      <c r="D82" s="205"/>
      <c r="E82" s="205"/>
      <c r="F82" s="205"/>
      <c r="G82" s="205"/>
      <c r="H82" s="205"/>
      <c r="I82" s="205"/>
      <c r="J82" s="205"/>
      <c r="K82" s="205"/>
      <c r="L82" s="205"/>
      <c r="M82" s="205"/>
      <c r="N82" s="205"/>
      <c r="O82" s="205"/>
      <c r="P82" s="206"/>
    </row>
    <row r="83" spans="1:26" s="3" customFormat="1" ht="14.1" customHeight="1" x14ac:dyDescent="0.2">
      <c r="B83" s="199"/>
      <c r="C83" s="204"/>
      <c r="D83" s="205"/>
      <c r="E83" s="205"/>
      <c r="F83" s="205"/>
      <c r="G83" s="205"/>
      <c r="H83" s="205"/>
      <c r="I83" s="205"/>
      <c r="J83" s="205"/>
      <c r="K83" s="205"/>
      <c r="L83" s="205"/>
      <c r="M83" s="205"/>
      <c r="N83" s="205"/>
      <c r="O83" s="205"/>
      <c r="P83" s="206"/>
    </row>
    <row r="84" spans="1:26" s="3" customFormat="1" ht="14.1" customHeight="1" thickBot="1" x14ac:dyDescent="0.25">
      <c r="B84" s="200"/>
      <c r="C84" s="207"/>
      <c r="D84" s="208"/>
      <c r="E84" s="208"/>
      <c r="F84" s="208"/>
      <c r="G84" s="208"/>
      <c r="H84" s="208"/>
      <c r="I84" s="208"/>
      <c r="J84" s="208"/>
      <c r="K84" s="208"/>
      <c r="L84" s="208"/>
      <c r="M84" s="208"/>
      <c r="N84" s="208"/>
      <c r="O84" s="208"/>
      <c r="P84" s="209"/>
    </row>
    <row r="85" spans="1:26" s="3" customFormat="1" ht="28.5" customHeight="1" thickBot="1" x14ac:dyDescent="0.25">
      <c r="A85" s="79"/>
      <c r="B85" s="80" t="s">
        <v>76</v>
      </c>
      <c r="C85" s="177" t="s">
        <v>105</v>
      </c>
      <c r="D85" s="177"/>
      <c r="E85" s="177"/>
      <c r="F85" s="177"/>
      <c r="G85" s="177"/>
      <c r="H85" s="178"/>
      <c r="I85" s="179"/>
      <c r="J85" s="80" t="s">
        <v>77</v>
      </c>
      <c r="K85" s="177" t="s">
        <v>78</v>
      </c>
      <c r="L85" s="177"/>
      <c r="M85" s="177"/>
      <c r="N85" s="177"/>
      <c r="O85" s="177"/>
      <c r="P85" s="178"/>
    </row>
    <row r="86" spans="1:26" s="3" customFormat="1" ht="28.5" customHeight="1" thickBot="1" x14ac:dyDescent="0.25">
      <c r="B86" s="81" t="s">
        <v>79</v>
      </c>
      <c r="C86" s="181" t="s">
        <v>80</v>
      </c>
      <c r="D86" s="181"/>
      <c r="E86" s="181"/>
      <c r="F86" s="181"/>
      <c r="G86" s="181"/>
      <c r="H86" s="182"/>
      <c r="I86" s="180"/>
      <c r="J86" s="81" t="s">
        <v>81</v>
      </c>
      <c r="K86" s="181" t="s">
        <v>82</v>
      </c>
      <c r="L86" s="181"/>
      <c r="M86" s="181"/>
      <c r="N86" s="181"/>
      <c r="O86" s="181"/>
      <c r="P86" s="182"/>
    </row>
    <row r="87" spans="1:26" s="19" customFormat="1" ht="13.5" customHeight="1" x14ac:dyDescent="0.25">
      <c r="A87" s="82"/>
      <c r="B87" s="183">
        <f>+B49</f>
        <v>7</v>
      </c>
      <c r="C87" s="186">
        <f>+C44</f>
        <v>5.2</v>
      </c>
      <c r="D87" s="188">
        <f>+D44</f>
        <v>0.39900000000000002</v>
      </c>
      <c r="E87" s="188">
        <f>+E49</f>
        <v>0.497</v>
      </c>
      <c r="F87" s="83" t="s">
        <v>71</v>
      </c>
      <c r="G87" s="83">
        <v>0.01</v>
      </c>
      <c r="H87" s="84"/>
      <c r="I87" s="85"/>
      <c r="J87" s="86">
        <v>0.12006629999999997</v>
      </c>
      <c r="K87" s="189">
        <f>+AVERAGE(J87:J97)</f>
        <v>0.18830069999999999</v>
      </c>
      <c r="L87" s="168">
        <f>ROUND(+(D87+D92)/2*(C92-C87),3)</f>
        <v>0.215</v>
      </c>
      <c r="M87" s="171">
        <f>ROUND(+K87*L87,4)</f>
        <v>4.0500000000000001E-2</v>
      </c>
      <c r="N87" s="168">
        <f>ROUND(+M87/$M$98*100,2)</f>
        <v>18.190000000000001</v>
      </c>
      <c r="O87" s="168"/>
      <c r="P87" s="172"/>
      <c r="Q87" s="87"/>
      <c r="R87" s="87"/>
      <c r="S87" s="87"/>
      <c r="T87" s="87"/>
      <c r="U87" s="87"/>
      <c r="V87" s="87"/>
      <c r="W87" s="87"/>
      <c r="X87" s="87"/>
      <c r="Y87" s="87"/>
      <c r="Z87" s="87"/>
    </row>
    <row r="88" spans="1:26" s="19" customFormat="1" ht="13.5" customHeight="1" x14ac:dyDescent="0.25">
      <c r="A88" s="82"/>
      <c r="B88" s="184"/>
      <c r="C88" s="169"/>
      <c r="D88" s="169"/>
      <c r="E88" s="169"/>
      <c r="F88" s="88" t="s">
        <v>83</v>
      </c>
      <c r="G88" s="89">
        <f>+E87*0.1</f>
        <v>4.9700000000000001E-2</v>
      </c>
      <c r="H88" s="90"/>
      <c r="I88" s="91"/>
      <c r="J88" s="92">
        <v>0.1718982</v>
      </c>
      <c r="K88" s="169"/>
      <c r="L88" s="169"/>
      <c r="M88" s="169"/>
      <c r="N88" s="169"/>
      <c r="O88" s="169"/>
      <c r="P88" s="173"/>
      <c r="Q88" s="87"/>
      <c r="R88" s="87"/>
      <c r="S88" s="87"/>
      <c r="T88" s="87"/>
      <c r="U88" s="87"/>
      <c r="V88" s="87"/>
      <c r="W88" s="87"/>
      <c r="X88" s="87"/>
      <c r="Y88" s="87"/>
      <c r="Z88" s="87"/>
    </row>
    <row r="89" spans="1:26" s="19" customFormat="1" ht="13.5" customHeight="1" x14ac:dyDescent="0.25">
      <c r="A89" s="82"/>
      <c r="B89" s="184"/>
      <c r="C89" s="169"/>
      <c r="D89" s="169"/>
      <c r="E89" s="169"/>
      <c r="F89" s="88" t="s">
        <v>84</v>
      </c>
      <c r="G89" s="89">
        <f>+E87*0.2</f>
        <v>9.9400000000000002E-2</v>
      </c>
      <c r="H89" s="90"/>
      <c r="I89" s="91"/>
      <c r="J89" s="92">
        <v>0.1666494</v>
      </c>
      <c r="K89" s="169"/>
      <c r="L89" s="169"/>
      <c r="M89" s="169"/>
      <c r="N89" s="169"/>
      <c r="O89" s="169"/>
      <c r="P89" s="173"/>
      <c r="Q89" s="87"/>
      <c r="R89" s="87"/>
      <c r="S89" s="87"/>
      <c r="T89" s="87"/>
      <c r="U89" s="87"/>
      <c r="V89" s="87"/>
      <c r="W89" s="87"/>
      <c r="X89" s="87"/>
      <c r="Y89" s="87"/>
      <c r="Z89" s="87"/>
    </row>
    <row r="90" spans="1:26" s="19" customFormat="1" ht="13.5" customHeight="1" x14ac:dyDescent="0.25">
      <c r="A90" s="82"/>
      <c r="B90" s="184"/>
      <c r="C90" s="169"/>
      <c r="D90" s="169"/>
      <c r="E90" s="169"/>
      <c r="F90" s="88" t="s">
        <v>85</v>
      </c>
      <c r="G90" s="89">
        <f>+E87*0.3</f>
        <v>0.14909999999999998</v>
      </c>
      <c r="H90" s="90"/>
      <c r="I90" s="91"/>
      <c r="J90" s="92">
        <v>0.16402500000000003</v>
      </c>
      <c r="K90" s="169"/>
      <c r="L90" s="169"/>
      <c r="M90" s="169"/>
      <c r="N90" s="169"/>
      <c r="O90" s="169"/>
      <c r="P90" s="173"/>
      <c r="Q90" s="87"/>
      <c r="R90" s="87"/>
      <c r="S90" s="87"/>
      <c r="T90" s="87"/>
      <c r="U90" s="87"/>
      <c r="V90" s="87"/>
      <c r="W90" s="87"/>
      <c r="X90" s="87"/>
      <c r="Y90" s="87"/>
      <c r="Z90" s="87"/>
    </row>
    <row r="91" spans="1:26" s="19" customFormat="1" ht="13.5" customHeight="1" x14ac:dyDescent="0.25">
      <c r="A91" s="82"/>
      <c r="B91" s="184"/>
      <c r="C91" s="187"/>
      <c r="D91" s="187"/>
      <c r="E91" s="169"/>
      <c r="F91" s="88" t="s">
        <v>86</v>
      </c>
      <c r="G91" s="89">
        <f>+E87*0.4</f>
        <v>0.1988</v>
      </c>
      <c r="H91" s="90"/>
      <c r="I91" s="91"/>
      <c r="J91" s="92">
        <v>0.18633240000000001</v>
      </c>
      <c r="K91" s="169"/>
      <c r="L91" s="169"/>
      <c r="M91" s="169"/>
      <c r="N91" s="169"/>
      <c r="O91" s="169"/>
      <c r="P91" s="173"/>
      <c r="Q91" s="87"/>
      <c r="R91" s="87"/>
      <c r="S91" s="87"/>
      <c r="T91" s="87"/>
      <c r="U91" s="87"/>
      <c r="V91" s="87"/>
      <c r="W91" s="87"/>
      <c r="X91" s="87"/>
      <c r="Y91" s="87"/>
      <c r="Z91" s="87"/>
    </row>
    <row r="92" spans="1:26" s="19" customFormat="1" ht="13.5" customHeight="1" x14ac:dyDescent="0.25">
      <c r="A92" s="82"/>
      <c r="B92" s="184"/>
      <c r="C92" s="175">
        <f>+C49</f>
        <v>5.7</v>
      </c>
      <c r="D92" s="176">
        <f>+D49</f>
        <v>0.46200000000000002</v>
      </c>
      <c r="E92" s="169"/>
      <c r="F92" s="88" t="s">
        <v>30</v>
      </c>
      <c r="G92" s="89">
        <f>+E87*0.5</f>
        <v>0.2485</v>
      </c>
      <c r="H92" s="90"/>
      <c r="I92" s="91"/>
      <c r="J92" s="92">
        <v>0.18698849999999995</v>
      </c>
      <c r="K92" s="169"/>
      <c r="L92" s="169"/>
      <c r="M92" s="169"/>
      <c r="N92" s="169"/>
      <c r="O92" s="169"/>
      <c r="P92" s="173"/>
      <c r="Q92" s="87"/>
      <c r="R92" s="87"/>
      <c r="S92" s="87"/>
      <c r="T92" s="87"/>
      <c r="U92" s="87"/>
      <c r="V92" s="87"/>
      <c r="W92" s="87"/>
      <c r="X92" s="87"/>
      <c r="Y92" s="87"/>
      <c r="Z92" s="87"/>
    </row>
    <row r="93" spans="1:26" s="19" customFormat="1" ht="13.5" customHeight="1" x14ac:dyDescent="0.25">
      <c r="A93" s="82"/>
      <c r="B93" s="184"/>
      <c r="C93" s="169"/>
      <c r="D93" s="169"/>
      <c r="E93" s="169"/>
      <c r="F93" s="88" t="s">
        <v>87</v>
      </c>
      <c r="G93" s="89">
        <f>+E87*0.6</f>
        <v>0.29819999999999997</v>
      </c>
      <c r="H93" s="90"/>
      <c r="I93" s="91"/>
      <c r="J93" s="92">
        <v>0.19092509999999996</v>
      </c>
      <c r="K93" s="169"/>
      <c r="L93" s="169"/>
      <c r="M93" s="169"/>
      <c r="N93" s="169"/>
      <c r="O93" s="169"/>
      <c r="P93" s="173"/>
      <c r="Q93" s="87"/>
      <c r="R93" s="87"/>
      <c r="S93" s="87"/>
      <c r="T93" s="87"/>
      <c r="U93" s="87"/>
      <c r="V93" s="87"/>
      <c r="W93" s="87"/>
      <c r="X93" s="87"/>
      <c r="Y93" s="87"/>
      <c r="Z93" s="87"/>
    </row>
    <row r="94" spans="1:26" s="19" customFormat="1" ht="13.5" customHeight="1" x14ac:dyDescent="0.25">
      <c r="A94" s="82"/>
      <c r="B94" s="184"/>
      <c r="C94" s="169"/>
      <c r="D94" s="169"/>
      <c r="E94" s="169"/>
      <c r="F94" s="88" t="s">
        <v>88</v>
      </c>
      <c r="G94" s="89">
        <f>+E87*0.7</f>
        <v>0.34789999999999999</v>
      </c>
      <c r="H94" s="90"/>
      <c r="I94" s="91"/>
      <c r="J94" s="92">
        <v>0.21323249999999999</v>
      </c>
      <c r="K94" s="169"/>
      <c r="L94" s="169"/>
      <c r="M94" s="169"/>
      <c r="N94" s="169"/>
      <c r="O94" s="169"/>
      <c r="P94" s="173"/>
      <c r="Q94" s="87"/>
      <c r="R94" s="87"/>
      <c r="S94" s="87"/>
      <c r="T94" s="87"/>
      <c r="U94" s="87"/>
      <c r="V94" s="87"/>
      <c r="W94" s="87"/>
      <c r="X94" s="87"/>
      <c r="Y94" s="87"/>
      <c r="Z94" s="87"/>
    </row>
    <row r="95" spans="1:26" s="19" customFormat="1" ht="13.5" customHeight="1" x14ac:dyDescent="0.25">
      <c r="A95" s="82"/>
      <c r="B95" s="184"/>
      <c r="C95" s="169"/>
      <c r="D95" s="169"/>
      <c r="E95" s="169"/>
      <c r="F95" s="88" t="s">
        <v>89</v>
      </c>
      <c r="G95" s="89">
        <f>+E87*0.8</f>
        <v>0.39760000000000001</v>
      </c>
      <c r="H95" s="90"/>
      <c r="I95" s="91"/>
      <c r="J95" s="92">
        <v>0.2204496</v>
      </c>
      <c r="K95" s="169"/>
      <c r="L95" s="169"/>
      <c r="M95" s="169"/>
      <c r="N95" s="169"/>
      <c r="O95" s="169"/>
      <c r="P95" s="173"/>
      <c r="Q95" s="87"/>
      <c r="R95" s="87"/>
      <c r="S95" s="87"/>
      <c r="T95" s="87"/>
      <c r="U95" s="87"/>
      <c r="V95" s="87"/>
      <c r="W95" s="87"/>
      <c r="X95" s="87"/>
      <c r="Y95" s="87"/>
      <c r="Z95" s="87"/>
    </row>
    <row r="96" spans="1:26" s="19" customFormat="1" ht="13.5" customHeight="1" x14ac:dyDescent="0.25">
      <c r="A96" s="82"/>
      <c r="B96" s="184"/>
      <c r="C96" s="169"/>
      <c r="D96" s="169"/>
      <c r="E96" s="169"/>
      <c r="F96" s="88" t="s">
        <v>90</v>
      </c>
      <c r="G96" s="89">
        <f>+E87*0.9</f>
        <v>0.44730000000000003</v>
      </c>
      <c r="H96" s="90"/>
      <c r="I96" s="91"/>
      <c r="J96" s="92">
        <v>0.2276667</v>
      </c>
      <c r="K96" s="169"/>
      <c r="L96" s="169"/>
      <c r="M96" s="169"/>
      <c r="N96" s="169"/>
      <c r="O96" s="169"/>
      <c r="P96" s="173"/>
      <c r="Q96" s="87"/>
      <c r="R96" s="87"/>
      <c r="S96" s="87"/>
      <c r="T96" s="87"/>
      <c r="U96" s="87"/>
      <c r="V96" s="87"/>
      <c r="W96" s="87"/>
      <c r="X96" s="87"/>
      <c r="Y96" s="87"/>
      <c r="Z96" s="87"/>
    </row>
    <row r="97" spans="1:26" s="19" customFormat="1" ht="15.75" thickBot="1" x14ac:dyDescent="0.3">
      <c r="A97" s="82"/>
      <c r="B97" s="185"/>
      <c r="C97" s="170"/>
      <c r="D97" s="170"/>
      <c r="E97" s="170"/>
      <c r="F97" s="93" t="s">
        <v>31</v>
      </c>
      <c r="G97" s="93">
        <f>+E87</f>
        <v>0.497</v>
      </c>
      <c r="H97" s="94"/>
      <c r="I97" s="95"/>
      <c r="J97" s="96">
        <v>0.22307400000000002</v>
      </c>
      <c r="K97" s="170"/>
      <c r="L97" s="170"/>
      <c r="M97" s="170"/>
      <c r="N97" s="170"/>
      <c r="O97" s="170"/>
      <c r="P97" s="174"/>
      <c r="Q97" s="87"/>
      <c r="R97" s="87"/>
      <c r="S97" s="87"/>
      <c r="T97" s="87"/>
      <c r="U97" s="87"/>
      <c r="V97" s="87"/>
      <c r="W97" s="87"/>
      <c r="X97" s="87"/>
      <c r="Y97" s="87"/>
      <c r="Z97" s="87"/>
    </row>
    <row r="98" spans="1:26" s="3" customFormat="1" ht="12.75" x14ac:dyDescent="0.2">
      <c r="A98" s="11"/>
      <c r="B98" s="156" t="s">
        <v>32</v>
      </c>
      <c r="C98" s="156"/>
      <c r="D98" s="156"/>
      <c r="E98" s="156"/>
      <c r="F98" s="156"/>
      <c r="G98" s="156"/>
      <c r="H98" s="156"/>
      <c r="I98" s="156"/>
      <c r="J98" s="156"/>
      <c r="K98" s="12">
        <f>ROUND(+M98/L98,3)</f>
        <v>0.11700000000000001</v>
      </c>
      <c r="L98" s="16">
        <f>SUM(L19:L97)</f>
        <v>1.91</v>
      </c>
      <c r="M98" s="15">
        <f>SUM(M19:M97)</f>
        <v>0.22260000000000005</v>
      </c>
      <c r="N98" s="13">
        <f>ROUND(SUM(N19:N97),0)</f>
        <v>100</v>
      </c>
      <c r="O98" s="158" t="s">
        <v>33</v>
      </c>
      <c r="P98" s="160"/>
    </row>
    <row r="99" spans="1:26" s="3" customFormat="1" ht="15" customHeight="1" thickBot="1" x14ac:dyDescent="0.25">
      <c r="A99" s="11"/>
      <c r="B99" s="157"/>
      <c r="C99" s="157"/>
      <c r="D99" s="157"/>
      <c r="E99" s="157"/>
      <c r="F99" s="157"/>
      <c r="G99" s="157"/>
      <c r="H99" s="157"/>
      <c r="I99" s="157"/>
      <c r="J99" s="157"/>
      <c r="K99" s="14" t="s">
        <v>34</v>
      </c>
      <c r="L99" s="14" t="s">
        <v>50</v>
      </c>
      <c r="M99" s="14" t="s">
        <v>51</v>
      </c>
      <c r="N99" s="14" t="s">
        <v>35</v>
      </c>
      <c r="O99" s="159"/>
      <c r="P99" s="161"/>
    </row>
    <row r="100" spans="1:26" ht="15" customHeight="1" thickBot="1" x14ac:dyDescent="0.3">
      <c r="A100" s="5"/>
      <c r="B100" s="162" t="s">
        <v>91</v>
      </c>
      <c r="C100" s="163"/>
      <c r="D100" s="163"/>
      <c r="E100" s="163"/>
      <c r="F100" s="164"/>
      <c r="G100" s="162" t="s">
        <v>92</v>
      </c>
      <c r="H100" s="163"/>
      <c r="I100" s="163"/>
      <c r="J100" s="163"/>
      <c r="K100" s="164"/>
      <c r="L100" s="165" t="s">
        <v>53</v>
      </c>
      <c r="M100" s="166"/>
      <c r="N100" s="166"/>
      <c r="O100" s="166"/>
      <c r="P100" s="167"/>
    </row>
    <row r="101" spans="1:26" ht="15" customHeight="1" x14ac:dyDescent="0.25">
      <c r="A101" s="5"/>
      <c r="B101" s="126"/>
      <c r="C101" s="127"/>
      <c r="D101" s="127"/>
      <c r="E101" s="127"/>
      <c r="F101" s="128"/>
      <c r="G101" s="126"/>
      <c r="H101" s="127"/>
      <c r="I101" s="127"/>
      <c r="J101" s="127"/>
      <c r="K101" s="128"/>
      <c r="L101" s="135" t="s">
        <v>93</v>
      </c>
      <c r="M101" s="136"/>
      <c r="N101" s="136"/>
      <c r="O101" s="137">
        <f>+AVERAGE(E18:E78)</f>
        <v>0.31250000000000006</v>
      </c>
      <c r="P101" s="138"/>
    </row>
    <row r="102" spans="1:26" ht="15" customHeight="1" thickBot="1" x14ac:dyDescent="0.3">
      <c r="A102" s="5"/>
      <c r="B102" s="129"/>
      <c r="C102" s="130"/>
      <c r="D102" s="130"/>
      <c r="E102" s="130"/>
      <c r="F102" s="131"/>
      <c r="G102" s="129"/>
      <c r="H102" s="130"/>
      <c r="I102" s="130"/>
      <c r="J102" s="130"/>
      <c r="K102" s="131"/>
      <c r="L102" s="139" t="s">
        <v>94</v>
      </c>
      <c r="M102" s="140"/>
      <c r="N102" s="140"/>
      <c r="O102" s="141">
        <f>+MAX(E18:E78)</f>
        <v>0.497</v>
      </c>
      <c r="P102" s="142"/>
    </row>
    <row r="103" spans="1:26" ht="18.600000000000001" customHeight="1" x14ac:dyDescent="0.25">
      <c r="A103" s="6"/>
      <c r="B103" s="129"/>
      <c r="C103" s="130"/>
      <c r="D103" s="130"/>
      <c r="E103" s="130"/>
      <c r="F103" s="131"/>
      <c r="G103" s="129"/>
      <c r="H103" s="130"/>
      <c r="I103" s="130"/>
      <c r="J103" s="130"/>
      <c r="K103" s="131"/>
      <c r="L103" s="143" t="s">
        <v>114</v>
      </c>
      <c r="M103" s="144"/>
      <c r="N103" s="144"/>
      <c r="O103" s="144"/>
      <c r="P103" s="145"/>
    </row>
    <row r="104" spans="1:26" ht="61.5" customHeight="1" x14ac:dyDescent="0.25">
      <c r="A104" s="10"/>
      <c r="B104" s="129"/>
      <c r="C104" s="130"/>
      <c r="D104" s="130"/>
      <c r="E104" s="130"/>
      <c r="F104" s="131"/>
      <c r="G104" s="129"/>
      <c r="H104" s="130"/>
      <c r="I104" s="130"/>
      <c r="J104" s="130"/>
      <c r="K104" s="131"/>
      <c r="L104" s="146"/>
      <c r="M104" s="147"/>
      <c r="N104" s="147"/>
      <c r="O104" s="147"/>
      <c r="P104" s="148"/>
    </row>
    <row r="105" spans="1:26" ht="15" customHeight="1" thickBot="1" x14ac:dyDescent="0.3">
      <c r="A105" s="5"/>
      <c r="B105" s="129"/>
      <c r="C105" s="130"/>
      <c r="D105" s="130"/>
      <c r="E105" s="130"/>
      <c r="F105" s="131"/>
      <c r="G105" s="129"/>
      <c r="H105" s="130"/>
      <c r="I105" s="130"/>
      <c r="J105" s="130"/>
      <c r="K105" s="131"/>
      <c r="L105" s="149"/>
      <c r="M105" s="150"/>
      <c r="N105" s="150"/>
      <c r="O105" s="150"/>
      <c r="P105" s="151"/>
    </row>
    <row r="106" spans="1:26" ht="22.5" customHeight="1" thickBot="1" x14ac:dyDescent="0.3">
      <c r="A106" s="5"/>
      <c r="B106" s="129"/>
      <c r="C106" s="130"/>
      <c r="D106" s="130"/>
      <c r="E106" s="130"/>
      <c r="F106" s="131"/>
      <c r="G106" s="129"/>
      <c r="H106" s="130"/>
      <c r="I106" s="130"/>
      <c r="J106" s="130"/>
      <c r="K106" s="131"/>
      <c r="L106" s="152" t="s">
        <v>36</v>
      </c>
      <c r="M106" s="153"/>
      <c r="N106" s="153"/>
      <c r="O106" s="153"/>
      <c r="P106" s="97">
        <v>5.56</v>
      </c>
    </row>
    <row r="107" spans="1:26" ht="32.25" customHeight="1" thickBot="1" x14ac:dyDescent="0.3">
      <c r="A107" s="5"/>
      <c r="B107" s="132"/>
      <c r="C107" s="133"/>
      <c r="D107" s="133"/>
      <c r="E107" s="133"/>
      <c r="F107" s="134"/>
      <c r="G107" s="132"/>
      <c r="H107" s="133"/>
      <c r="I107" s="133"/>
      <c r="J107" s="133"/>
      <c r="K107" s="134"/>
      <c r="L107" s="154" t="s">
        <v>52</v>
      </c>
      <c r="M107" s="155"/>
      <c r="N107" s="155"/>
      <c r="O107" s="155"/>
      <c r="P107" s="97">
        <v>0.49049999999999999</v>
      </c>
    </row>
    <row r="108" spans="1:26" ht="23.45" customHeight="1" thickBot="1" x14ac:dyDescent="0.3">
      <c r="A108" s="7"/>
      <c r="B108" s="115"/>
      <c r="C108" s="115"/>
      <c r="D108" s="115"/>
      <c r="E108" s="115"/>
      <c r="F108" s="115"/>
      <c r="G108" s="115"/>
      <c r="H108" s="115"/>
      <c r="I108" s="115"/>
      <c r="J108" s="115"/>
      <c r="K108" s="115"/>
      <c r="L108" s="115"/>
      <c r="M108" s="115"/>
      <c r="N108" s="115"/>
      <c r="O108" s="115"/>
      <c r="P108" s="115"/>
    </row>
    <row r="109" spans="1:26" ht="15.75" thickBot="1" x14ac:dyDescent="0.3">
      <c r="A109" s="116" t="s">
        <v>37</v>
      </c>
      <c r="B109" s="117"/>
      <c r="C109" s="117"/>
      <c r="D109" s="117"/>
      <c r="E109" s="117"/>
      <c r="F109" s="117"/>
      <c r="G109" s="117"/>
      <c r="H109" s="117"/>
      <c r="I109" s="117"/>
      <c r="J109" s="117"/>
      <c r="K109" s="117"/>
      <c r="L109" s="117"/>
      <c r="M109" s="117"/>
      <c r="N109" s="117"/>
      <c r="O109" s="117"/>
      <c r="P109" s="118"/>
    </row>
    <row r="110" spans="1:26" s="99" customFormat="1" ht="159" customHeight="1" thickBot="1" x14ac:dyDescent="0.3">
      <c r="A110" s="4"/>
      <c r="B110" s="302"/>
      <c r="C110" s="303"/>
      <c r="D110" s="303"/>
      <c r="E110" s="303"/>
      <c r="F110" s="303"/>
      <c r="G110" s="303"/>
      <c r="H110" s="303"/>
      <c r="I110" s="303"/>
      <c r="J110" s="303"/>
      <c r="K110" s="303"/>
      <c r="L110" s="303"/>
      <c r="M110" s="303"/>
      <c r="N110" s="303"/>
      <c r="O110" s="303"/>
      <c r="P110" s="304"/>
    </row>
    <row r="111" spans="1:26" ht="21.75" customHeight="1" thickBot="1" x14ac:dyDescent="0.3">
      <c r="A111" s="4"/>
      <c r="B111" s="122" t="s">
        <v>115</v>
      </c>
      <c r="C111" s="123"/>
      <c r="D111" s="123"/>
      <c r="E111" s="123"/>
      <c r="F111" s="124"/>
      <c r="G111" s="122" t="s">
        <v>116</v>
      </c>
      <c r="H111" s="123"/>
      <c r="I111" s="123"/>
      <c r="J111" s="123"/>
      <c r="K111" s="124"/>
      <c r="L111" s="122" t="s">
        <v>117</v>
      </c>
      <c r="M111" s="123"/>
      <c r="N111" s="123"/>
      <c r="O111" s="123"/>
      <c r="P111" s="125"/>
    </row>
    <row r="112" spans="1:26" s="9" customFormat="1" ht="16.899999999999999" customHeight="1" thickBot="1" x14ac:dyDescent="0.3">
      <c r="A112" s="8"/>
      <c r="B112" s="110"/>
      <c r="C112" s="110"/>
      <c r="D112" s="110"/>
      <c r="E112" s="110"/>
      <c r="F112" s="110"/>
      <c r="G112" s="110"/>
      <c r="H112" s="110"/>
      <c r="I112" s="110"/>
      <c r="J112" s="110"/>
      <c r="K112" s="110"/>
      <c r="L112" s="110"/>
      <c r="M112" s="110"/>
      <c r="N112" s="110"/>
      <c r="O112" s="110"/>
      <c r="P112" s="111"/>
    </row>
    <row r="113" spans="1:16" s="3" customFormat="1" ht="15.75" customHeight="1" thickBot="1" x14ac:dyDescent="0.25">
      <c r="A113" s="112" t="s">
        <v>38</v>
      </c>
      <c r="B113" s="113"/>
      <c r="C113" s="113"/>
      <c r="D113" s="113" t="s">
        <v>118</v>
      </c>
      <c r="E113" s="113"/>
      <c r="F113" s="113"/>
      <c r="G113" s="113"/>
      <c r="H113" s="113"/>
      <c r="I113" s="113"/>
      <c r="J113" s="113" t="s">
        <v>39</v>
      </c>
      <c r="K113" s="113"/>
      <c r="L113" s="113"/>
      <c r="M113" s="113"/>
      <c r="N113" s="113"/>
      <c r="O113" s="113"/>
      <c r="P113" s="114"/>
    </row>
  </sheetData>
  <mergeCells count="224">
    <mergeCell ref="B4:P4"/>
    <mergeCell ref="C5:D5"/>
    <mergeCell ref="H5:P5"/>
    <mergeCell ref="B2:D3"/>
    <mergeCell ref="E2:N3"/>
    <mergeCell ref="O2:P3"/>
    <mergeCell ref="B6:C6"/>
    <mergeCell ref="D6:I6"/>
    <mergeCell ref="K6:L6"/>
    <mergeCell ref="M6:N6"/>
    <mergeCell ref="B7:B8"/>
    <mergeCell ref="C7:D7"/>
    <mergeCell ref="F7:I7"/>
    <mergeCell ref="J7:M7"/>
    <mergeCell ref="N7:O7"/>
    <mergeCell ref="C8:D8"/>
    <mergeCell ref="F8:I8"/>
    <mergeCell ref="J8:M8"/>
    <mergeCell ref="N8:O8"/>
    <mergeCell ref="B9:B12"/>
    <mergeCell ref="C9:C10"/>
    <mergeCell ref="D9:E9"/>
    <mergeCell ref="G9:G10"/>
    <mergeCell ref="H9:I9"/>
    <mergeCell ref="K9:K10"/>
    <mergeCell ref="L9:P10"/>
    <mergeCell ref="O11:P11"/>
    <mergeCell ref="C12:D12"/>
    <mergeCell ref="F12:G12"/>
    <mergeCell ref="I12:J12"/>
    <mergeCell ref="L12:M12"/>
    <mergeCell ref="O12:P12"/>
    <mergeCell ref="D10:E10"/>
    <mergeCell ref="H10:I10"/>
    <mergeCell ref="C11:D11"/>
    <mergeCell ref="F11:G11"/>
    <mergeCell ref="I11:J11"/>
    <mergeCell ref="L11:M11"/>
    <mergeCell ref="F15:I15"/>
    <mergeCell ref="J15:M15"/>
    <mergeCell ref="N15:P15"/>
    <mergeCell ref="B16:B17"/>
    <mergeCell ref="C16:C17"/>
    <mergeCell ref="D16:D17"/>
    <mergeCell ref="E16:E17"/>
    <mergeCell ref="F16:G17"/>
    <mergeCell ref="H16:H17"/>
    <mergeCell ref="I16:I17"/>
    <mergeCell ref="B13:B15"/>
    <mergeCell ref="C13:E13"/>
    <mergeCell ref="F13:I13"/>
    <mergeCell ref="J13:M13"/>
    <mergeCell ref="N13:P13"/>
    <mergeCell ref="C14:E14"/>
    <mergeCell ref="F14:I14"/>
    <mergeCell ref="J14:M14"/>
    <mergeCell ref="N14:P14"/>
    <mergeCell ref="C15:E15"/>
    <mergeCell ref="M19:M23"/>
    <mergeCell ref="N19:N23"/>
    <mergeCell ref="O19:O23"/>
    <mergeCell ref="P19:P23"/>
    <mergeCell ref="B24:B28"/>
    <mergeCell ref="C24:C28"/>
    <mergeCell ref="D24:D28"/>
    <mergeCell ref="E24:E28"/>
    <mergeCell ref="K24:K28"/>
    <mergeCell ref="L24:L28"/>
    <mergeCell ref="B19:B23"/>
    <mergeCell ref="C19:C23"/>
    <mergeCell ref="D19:D23"/>
    <mergeCell ref="E19:E23"/>
    <mergeCell ref="K19:K23"/>
    <mergeCell ref="L19:L23"/>
    <mergeCell ref="M24:M28"/>
    <mergeCell ref="N24:N28"/>
    <mergeCell ref="O24:O28"/>
    <mergeCell ref="P24:P28"/>
    <mergeCell ref="B29:B33"/>
    <mergeCell ref="C29:C33"/>
    <mergeCell ref="D29:D33"/>
    <mergeCell ref="E29:E33"/>
    <mergeCell ref="K29:K33"/>
    <mergeCell ref="L29:L33"/>
    <mergeCell ref="M29:M33"/>
    <mergeCell ref="N29:N33"/>
    <mergeCell ref="O29:O33"/>
    <mergeCell ref="P29:P33"/>
    <mergeCell ref="B34:B38"/>
    <mergeCell ref="C34:C38"/>
    <mergeCell ref="D34:D38"/>
    <mergeCell ref="E34:E38"/>
    <mergeCell ref="K34:K38"/>
    <mergeCell ref="L34:L38"/>
    <mergeCell ref="M34:M38"/>
    <mergeCell ref="N34:N38"/>
    <mergeCell ref="O34:O38"/>
    <mergeCell ref="P34:P38"/>
    <mergeCell ref="B39:B43"/>
    <mergeCell ref="C39:C43"/>
    <mergeCell ref="D39:D43"/>
    <mergeCell ref="E39:E43"/>
    <mergeCell ref="K39:K43"/>
    <mergeCell ref="L39:L43"/>
    <mergeCell ref="M39:M43"/>
    <mergeCell ref="N39:N43"/>
    <mergeCell ref="O39:O43"/>
    <mergeCell ref="P39:P43"/>
    <mergeCell ref="B44:B48"/>
    <mergeCell ref="C44:C48"/>
    <mergeCell ref="D44:D48"/>
    <mergeCell ref="E44:E48"/>
    <mergeCell ref="K44:K48"/>
    <mergeCell ref="L44:L48"/>
    <mergeCell ref="M44:M48"/>
    <mergeCell ref="N44:N48"/>
    <mergeCell ref="O44:O48"/>
    <mergeCell ref="P44:P48"/>
    <mergeCell ref="B49:B53"/>
    <mergeCell ref="C49:C53"/>
    <mergeCell ref="D49:D53"/>
    <mergeCell ref="E49:E53"/>
    <mergeCell ref="K49:K53"/>
    <mergeCell ref="L49:L53"/>
    <mergeCell ref="M49:M53"/>
    <mergeCell ref="N49:N53"/>
    <mergeCell ref="O49:O53"/>
    <mergeCell ref="P49:P53"/>
    <mergeCell ref="B54:B58"/>
    <mergeCell ref="C54:C58"/>
    <mergeCell ref="D54:D58"/>
    <mergeCell ref="E54:E58"/>
    <mergeCell ref="K54:K58"/>
    <mergeCell ref="L54:L58"/>
    <mergeCell ref="M54:M58"/>
    <mergeCell ref="N54:N58"/>
    <mergeCell ref="O54:O58"/>
    <mergeCell ref="P54:P58"/>
    <mergeCell ref="B59:B63"/>
    <mergeCell ref="C59:C63"/>
    <mergeCell ref="D59:D63"/>
    <mergeCell ref="E59:E63"/>
    <mergeCell ref="K59:K63"/>
    <mergeCell ref="L59:L63"/>
    <mergeCell ref="M59:M63"/>
    <mergeCell ref="N59:N63"/>
    <mergeCell ref="O59:O63"/>
    <mergeCell ref="P59:P63"/>
    <mergeCell ref="B64:B68"/>
    <mergeCell ref="C64:C68"/>
    <mergeCell ref="D64:D68"/>
    <mergeCell ref="E64:E68"/>
    <mergeCell ref="K64:K68"/>
    <mergeCell ref="L64:L68"/>
    <mergeCell ref="M64:M68"/>
    <mergeCell ref="N64:N68"/>
    <mergeCell ref="O64:O68"/>
    <mergeCell ref="P64:P68"/>
    <mergeCell ref="B69:B73"/>
    <mergeCell ref="C69:C73"/>
    <mergeCell ref="D69:D73"/>
    <mergeCell ref="E69:E73"/>
    <mergeCell ref="K69:K73"/>
    <mergeCell ref="L69:L73"/>
    <mergeCell ref="M74:M78"/>
    <mergeCell ref="N74:N78"/>
    <mergeCell ref="O74:O78"/>
    <mergeCell ref="P74:P78"/>
    <mergeCell ref="B79:B84"/>
    <mergeCell ref="C79:P84"/>
    <mergeCell ref="M69:M73"/>
    <mergeCell ref="N69:N73"/>
    <mergeCell ref="O69:O73"/>
    <mergeCell ref="P69:P73"/>
    <mergeCell ref="B74:B78"/>
    <mergeCell ref="C74:C78"/>
    <mergeCell ref="D74:D78"/>
    <mergeCell ref="E74:E78"/>
    <mergeCell ref="K74:K78"/>
    <mergeCell ref="L74:L78"/>
    <mergeCell ref="C85:H85"/>
    <mergeCell ref="I85:I86"/>
    <mergeCell ref="K85:P85"/>
    <mergeCell ref="C86:H86"/>
    <mergeCell ref="K86:P86"/>
    <mergeCell ref="B87:B97"/>
    <mergeCell ref="C87:C91"/>
    <mergeCell ref="D87:D91"/>
    <mergeCell ref="E87:E97"/>
    <mergeCell ref="K87:K97"/>
    <mergeCell ref="B98:J99"/>
    <mergeCell ref="O98:O99"/>
    <mergeCell ref="P98:P99"/>
    <mergeCell ref="B100:F100"/>
    <mergeCell ref="G100:K100"/>
    <mergeCell ref="L100:P100"/>
    <mergeCell ref="L87:L97"/>
    <mergeCell ref="M87:M97"/>
    <mergeCell ref="N87:N97"/>
    <mergeCell ref="O87:O97"/>
    <mergeCell ref="P87:P97"/>
    <mergeCell ref="C92:C97"/>
    <mergeCell ref="D92:D97"/>
    <mergeCell ref="B101:F107"/>
    <mergeCell ref="G101:K107"/>
    <mergeCell ref="L101:N101"/>
    <mergeCell ref="O101:P101"/>
    <mergeCell ref="L102:N102"/>
    <mergeCell ref="O102:P102"/>
    <mergeCell ref="L103:P105"/>
    <mergeCell ref="L106:O106"/>
    <mergeCell ref="L107:O107"/>
    <mergeCell ref="B112:P112"/>
    <mergeCell ref="A113:C113"/>
    <mergeCell ref="D113:I113"/>
    <mergeCell ref="J113:K113"/>
    <mergeCell ref="L113:P113"/>
    <mergeCell ref="B108:P108"/>
    <mergeCell ref="A109:P109"/>
    <mergeCell ref="B110:I110"/>
    <mergeCell ref="J110:P110"/>
    <mergeCell ref="B111:F111"/>
    <mergeCell ref="G111:K111"/>
    <mergeCell ref="L111:P111"/>
  </mergeCells>
  <printOptions horizontalCentered="1"/>
  <pageMargins left="0.35433070866141736" right="0.23622047244094491" top="0.74803149606299213" bottom="0.74803149606299213" header="0.19685039370078741" footer="0.31496062992125984"/>
  <pageSetup scale="63" fitToHeight="0" orientation="portrait" r:id="rId1"/>
  <headerFooter>
    <oddHeader>&amp;C&amp;"-,Negrita Cursiva"&amp;12Protocolo integrado de aforo en ríos de montaña Universidad Nacional de Colombia-Sede Manizales</oddHeader>
  </headerFooter>
  <drawing r:id="rId2"/>
  <picture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168"/>
  <sheetViews>
    <sheetView view="pageBreakPreview" zoomScale="70" zoomScaleSheetLayoutView="70" zoomScalePageLayoutView="110" workbookViewId="0">
      <selection activeCell="H5" sqref="H5:P5"/>
    </sheetView>
  </sheetViews>
  <sheetFormatPr baseColWidth="10" defaultColWidth="11.42578125" defaultRowHeight="15" x14ac:dyDescent="0.25"/>
  <cols>
    <col min="1" max="1" width="0.140625" customWidth="1"/>
    <col min="2" max="2" width="9.5703125" customWidth="1"/>
    <col min="3" max="16" width="10.7109375" customWidth="1"/>
  </cols>
  <sheetData>
    <row r="1" spans="1:26" ht="4.9000000000000004" customHeight="1" thickBot="1" x14ac:dyDescent="0.3">
      <c r="J1" s="17"/>
    </row>
    <row r="2" spans="1:26" s="2" customFormat="1" ht="30" customHeight="1" x14ac:dyDescent="0.25">
      <c r="A2" s="315"/>
      <c r="B2" s="316"/>
      <c r="C2" s="317"/>
      <c r="D2" s="318"/>
      <c r="E2" s="319" t="s">
        <v>123</v>
      </c>
      <c r="F2" s="320"/>
      <c r="G2" s="320"/>
      <c r="H2" s="320"/>
      <c r="I2" s="320"/>
      <c r="J2" s="320"/>
      <c r="K2" s="320"/>
      <c r="L2" s="320"/>
      <c r="M2" s="320"/>
      <c r="N2" s="320"/>
      <c r="O2" s="321"/>
      <c r="P2" s="322"/>
    </row>
    <row r="3" spans="1:26" s="2" customFormat="1" ht="29.25" customHeight="1" thickBot="1" x14ac:dyDescent="0.3">
      <c r="A3" s="315"/>
      <c r="B3" s="323"/>
      <c r="C3" s="324"/>
      <c r="D3" s="325"/>
      <c r="E3" s="326"/>
      <c r="F3" s="327"/>
      <c r="G3" s="327"/>
      <c r="H3" s="327"/>
      <c r="I3" s="327"/>
      <c r="J3" s="327"/>
      <c r="K3" s="327"/>
      <c r="L3" s="327"/>
      <c r="M3" s="327"/>
      <c r="N3" s="327"/>
      <c r="O3" s="328"/>
      <c r="P3" s="329"/>
    </row>
    <row r="4" spans="1:26" s="19" customFormat="1" ht="11.25" customHeight="1" thickBot="1" x14ac:dyDescent="0.3">
      <c r="A4" s="18"/>
      <c r="B4" s="296"/>
      <c r="C4" s="225"/>
      <c r="D4" s="225"/>
      <c r="E4" s="225"/>
      <c r="F4" s="225"/>
      <c r="G4" s="225"/>
      <c r="H4" s="225"/>
      <c r="I4" s="225"/>
      <c r="J4" s="225"/>
      <c r="K4" s="225"/>
      <c r="L4" s="225"/>
      <c r="M4" s="225"/>
      <c r="N4" s="225"/>
      <c r="O4" s="225"/>
      <c r="P4" s="225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s="26" customFormat="1" ht="31.5" customHeight="1" thickBot="1" x14ac:dyDescent="0.3">
      <c r="A5" s="20"/>
      <c r="B5" s="21" t="s">
        <v>0</v>
      </c>
      <c r="C5" s="297">
        <v>43105</v>
      </c>
      <c r="D5" s="298"/>
      <c r="E5" s="22" t="s">
        <v>1</v>
      </c>
      <c r="F5" s="23">
        <v>3</v>
      </c>
      <c r="G5" s="24" t="s">
        <v>2</v>
      </c>
      <c r="H5" s="299" t="s">
        <v>124</v>
      </c>
      <c r="I5" s="300"/>
      <c r="J5" s="300"/>
      <c r="K5" s="300"/>
      <c r="L5" s="300"/>
      <c r="M5" s="300"/>
      <c r="N5" s="300"/>
      <c r="O5" s="300"/>
      <c r="P5" s="301"/>
      <c r="Q5" s="25"/>
      <c r="R5" s="25"/>
      <c r="S5" s="25"/>
      <c r="T5" s="25"/>
      <c r="U5" s="25"/>
      <c r="V5" s="25"/>
      <c r="W5" s="25"/>
      <c r="X5" s="25"/>
      <c r="Y5" s="25"/>
      <c r="Z5" s="25"/>
    </row>
    <row r="6" spans="1:26" s="31" customFormat="1" ht="21.75" customHeight="1" thickBot="1" x14ac:dyDescent="0.3">
      <c r="A6" s="27"/>
      <c r="B6" s="280" t="s">
        <v>3</v>
      </c>
      <c r="C6" s="281"/>
      <c r="D6" s="282" t="s">
        <v>109</v>
      </c>
      <c r="E6" s="283"/>
      <c r="F6" s="283"/>
      <c r="G6" s="283"/>
      <c r="H6" s="283"/>
      <c r="I6" s="284"/>
      <c r="J6" s="28" t="s">
        <v>4</v>
      </c>
      <c r="K6" s="285" t="s">
        <v>110</v>
      </c>
      <c r="L6" s="284"/>
      <c r="M6" s="285" t="s">
        <v>111</v>
      </c>
      <c r="N6" s="286"/>
      <c r="O6" s="29" t="s">
        <v>55</v>
      </c>
      <c r="P6" s="30">
        <v>1788</v>
      </c>
    </row>
    <row r="7" spans="1:26" s="26" customFormat="1" ht="21.75" customHeight="1" x14ac:dyDescent="0.25">
      <c r="B7" s="287" t="s">
        <v>56</v>
      </c>
      <c r="C7" s="288" t="s">
        <v>57</v>
      </c>
      <c r="D7" s="258"/>
      <c r="E7" s="32"/>
      <c r="F7" s="289" t="s">
        <v>58</v>
      </c>
      <c r="G7" s="290"/>
      <c r="H7" s="290"/>
      <c r="I7" s="290"/>
      <c r="J7" s="291" t="s">
        <v>59</v>
      </c>
      <c r="K7" s="292"/>
      <c r="L7" s="292"/>
      <c r="M7" s="293"/>
      <c r="N7" s="294" t="s">
        <v>95</v>
      </c>
      <c r="O7" s="295"/>
      <c r="P7" s="33" t="s">
        <v>60</v>
      </c>
    </row>
    <row r="8" spans="1:26" s="26" customFormat="1" ht="21.75" customHeight="1" thickBot="1" x14ac:dyDescent="0.3">
      <c r="B8" s="232"/>
      <c r="C8" s="249" t="s">
        <v>61</v>
      </c>
      <c r="D8" s="248"/>
      <c r="E8" s="34" t="s">
        <v>5</v>
      </c>
      <c r="F8" s="259" t="s">
        <v>6</v>
      </c>
      <c r="G8" s="260"/>
      <c r="H8" s="260"/>
      <c r="I8" s="260"/>
      <c r="J8" s="261"/>
      <c r="K8" s="262"/>
      <c r="L8" s="262"/>
      <c r="M8" s="263"/>
      <c r="N8" s="264"/>
      <c r="O8" s="265"/>
      <c r="P8" s="35"/>
    </row>
    <row r="9" spans="1:26" s="26" customFormat="1" ht="21.75" customHeight="1" x14ac:dyDescent="0.25">
      <c r="B9" s="266" t="s">
        <v>7</v>
      </c>
      <c r="C9" s="269" t="s">
        <v>62</v>
      </c>
      <c r="D9" s="270" t="s">
        <v>63</v>
      </c>
      <c r="E9" s="255"/>
      <c r="F9" s="36"/>
      <c r="G9" s="271" t="s">
        <v>8</v>
      </c>
      <c r="H9" s="272" t="s">
        <v>9</v>
      </c>
      <c r="I9" s="258"/>
      <c r="J9" s="37"/>
      <c r="K9" s="269" t="s">
        <v>64</v>
      </c>
      <c r="L9" s="273" t="s">
        <v>113</v>
      </c>
      <c r="M9" s="274"/>
      <c r="N9" s="275"/>
      <c r="O9" s="275"/>
      <c r="P9" s="276"/>
    </row>
    <row r="10" spans="1:26" s="26" customFormat="1" ht="21.75" customHeight="1" thickBot="1" x14ac:dyDescent="0.3">
      <c r="B10" s="267"/>
      <c r="C10" s="212"/>
      <c r="D10" s="253" t="s">
        <v>66</v>
      </c>
      <c r="E10" s="248"/>
      <c r="F10" s="38" t="s">
        <v>5</v>
      </c>
      <c r="G10" s="212"/>
      <c r="H10" s="253" t="s">
        <v>10</v>
      </c>
      <c r="I10" s="248"/>
      <c r="J10" s="39" t="s">
        <v>5</v>
      </c>
      <c r="K10" s="212"/>
      <c r="L10" s="277"/>
      <c r="M10" s="278"/>
      <c r="N10" s="278"/>
      <c r="O10" s="278"/>
      <c r="P10" s="279"/>
    </row>
    <row r="11" spans="1:26" s="26" customFormat="1" ht="21.75" customHeight="1" x14ac:dyDescent="0.25">
      <c r="A11" s="20"/>
      <c r="B11" s="267"/>
      <c r="C11" s="254" t="s">
        <v>11</v>
      </c>
      <c r="D11" s="255"/>
      <c r="E11" s="40">
        <v>0.37013888888888885</v>
      </c>
      <c r="F11" s="256" t="s">
        <v>12</v>
      </c>
      <c r="G11" s="255"/>
      <c r="H11" s="41">
        <v>0.95</v>
      </c>
      <c r="I11" s="257" t="s">
        <v>13</v>
      </c>
      <c r="J11" s="258"/>
      <c r="K11" s="41">
        <v>16</v>
      </c>
      <c r="L11" s="254" t="s">
        <v>14</v>
      </c>
      <c r="M11" s="255"/>
      <c r="N11" s="42">
        <v>7.05</v>
      </c>
      <c r="O11" s="245" t="s">
        <v>67</v>
      </c>
      <c r="P11" s="246"/>
    </row>
    <row r="12" spans="1:26" s="26" customFormat="1" ht="21.75" customHeight="1" thickBot="1" x14ac:dyDescent="0.3">
      <c r="A12" s="20"/>
      <c r="B12" s="268"/>
      <c r="C12" s="247" t="s">
        <v>15</v>
      </c>
      <c r="D12" s="248"/>
      <c r="E12" s="40">
        <v>0.5</v>
      </c>
      <c r="F12" s="249" t="s">
        <v>16</v>
      </c>
      <c r="G12" s="248"/>
      <c r="H12" s="41">
        <v>0.95</v>
      </c>
      <c r="I12" s="250" t="s">
        <v>17</v>
      </c>
      <c r="J12" s="248"/>
      <c r="K12" s="40">
        <v>0.34652777777777777</v>
      </c>
      <c r="L12" s="247" t="s">
        <v>18</v>
      </c>
      <c r="M12" s="248"/>
      <c r="N12" s="43">
        <v>0.3</v>
      </c>
      <c r="O12" s="251">
        <v>1.1499999999999999</v>
      </c>
      <c r="P12" s="252"/>
    </row>
    <row r="13" spans="1:26" s="26" customFormat="1" ht="21.75" customHeight="1" x14ac:dyDescent="0.25">
      <c r="A13" s="20"/>
      <c r="B13" s="230" t="s">
        <v>19</v>
      </c>
      <c r="C13" s="233" t="s">
        <v>96</v>
      </c>
      <c r="D13" s="234"/>
      <c r="E13" s="234"/>
      <c r="F13" s="235" t="s">
        <v>97</v>
      </c>
      <c r="G13" s="234"/>
      <c r="H13" s="234"/>
      <c r="I13" s="234"/>
      <c r="J13" s="235" t="s">
        <v>98</v>
      </c>
      <c r="K13" s="234"/>
      <c r="L13" s="234"/>
      <c r="M13" s="234"/>
      <c r="N13" s="236" t="s">
        <v>99</v>
      </c>
      <c r="O13" s="234"/>
      <c r="P13" s="237"/>
      <c r="Q13" s="44"/>
      <c r="R13" s="25"/>
      <c r="S13" s="25"/>
      <c r="T13" s="25"/>
      <c r="U13" s="25"/>
      <c r="V13" s="25"/>
      <c r="W13" s="25"/>
      <c r="X13" s="25"/>
      <c r="Y13" s="25"/>
      <c r="Z13" s="25"/>
    </row>
    <row r="14" spans="1:26" s="26" customFormat="1" ht="21.75" customHeight="1" x14ac:dyDescent="0.25">
      <c r="A14" s="20"/>
      <c r="B14" s="231"/>
      <c r="C14" s="238" t="s">
        <v>100</v>
      </c>
      <c r="D14" s="239"/>
      <c r="E14" s="239"/>
      <c r="F14" s="240" t="s">
        <v>101</v>
      </c>
      <c r="G14" s="239"/>
      <c r="H14" s="239"/>
      <c r="I14" s="239"/>
      <c r="J14" s="241" t="s">
        <v>102</v>
      </c>
      <c r="K14" s="239"/>
      <c r="L14" s="239"/>
      <c r="M14" s="239"/>
      <c r="N14" s="242"/>
      <c r="O14" s="227"/>
      <c r="P14" s="243"/>
      <c r="Q14" s="25"/>
      <c r="R14" s="25"/>
      <c r="S14" s="25"/>
      <c r="T14" s="25"/>
      <c r="U14" s="25"/>
      <c r="V14" s="25"/>
      <c r="W14" s="25"/>
      <c r="X14" s="25"/>
      <c r="Y14" s="25"/>
      <c r="Z14" s="25"/>
    </row>
    <row r="15" spans="1:26" s="26" customFormat="1" ht="21.75" customHeight="1" thickBot="1" x14ac:dyDescent="0.3">
      <c r="A15" s="20"/>
      <c r="B15" s="232"/>
      <c r="C15" s="244" t="s">
        <v>103</v>
      </c>
      <c r="D15" s="214"/>
      <c r="E15" s="214"/>
      <c r="F15" s="214" t="s">
        <v>104</v>
      </c>
      <c r="G15" s="215"/>
      <c r="H15" s="215"/>
      <c r="I15" s="215"/>
      <c r="J15" s="214" t="s">
        <v>68</v>
      </c>
      <c r="K15" s="215"/>
      <c r="L15" s="215"/>
      <c r="M15" s="215"/>
      <c r="N15" s="216"/>
      <c r="O15" s="217"/>
      <c r="P15" s="218"/>
      <c r="Q15" s="25"/>
      <c r="R15" s="25"/>
      <c r="S15" s="25"/>
      <c r="T15" s="25"/>
      <c r="U15" s="25"/>
      <c r="V15" s="25"/>
      <c r="W15" s="25"/>
      <c r="X15" s="25"/>
      <c r="Y15" s="25"/>
      <c r="Z15" s="25"/>
    </row>
    <row r="16" spans="1:26" s="26" customFormat="1" ht="21.75" customHeight="1" x14ac:dyDescent="0.25">
      <c r="A16" s="20"/>
      <c r="B16" s="219" t="s">
        <v>20</v>
      </c>
      <c r="C16" s="221" t="s">
        <v>21</v>
      </c>
      <c r="D16" s="221" t="s">
        <v>42</v>
      </c>
      <c r="E16" s="223" t="s">
        <v>22</v>
      </c>
      <c r="F16" s="224" t="s">
        <v>43</v>
      </c>
      <c r="G16" s="225"/>
      <c r="H16" s="221" t="s">
        <v>69</v>
      </c>
      <c r="I16" s="228" t="s">
        <v>70</v>
      </c>
      <c r="J16" s="45" t="s">
        <v>44</v>
      </c>
      <c r="K16" s="46"/>
      <c r="L16" s="47" t="s">
        <v>45</v>
      </c>
      <c r="M16" s="47" t="s">
        <v>46</v>
      </c>
      <c r="N16" s="47" t="s">
        <v>46</v>
      </c>
      <c r="O16" s="47" t="s">
        <v>47</v>
      </c>
      <c r="P16" s="48" t="s">
        <v>23</v>
      </c>
    </row>
    <row r="17" spans="1:26" s="26" customFormat="1" ht="21.75" customHeight="1" thickBot="1" x14ac:dyDescent="0.3">
      <c r="A17" s="49"/>
      <c r="B17" s="220"/>
      <c r="C17" s="222"/>
      <c r="D17" s="222"/>
      <c r="E17" s="222"/>
      <c r="F17" s="226"/>
      <c r="G17" s="227"/>
      <c r="H17" s="222"/>
      <c r="I17" s="229"/>
      <c r="J17" s="50" t="s">
        <v>24</v>
      </c>
      <c r="K17" s="51" t="s">
        <v>25</v>
      </c>
      <c r="L17" s="51" t="s">
        <v>48</v>
      </c>
      <c r="M17" s="51" t="s">
        <v>49</v>
      </c>
      <c r="N17" s="51" t="s">
        <v>26</v>
      </c>
      <c r="O17" s="51" t="s">
        <v>27</v>
      </c>
      <c r="P17" s="52" t="s">
        <v>28</v>
      </c>
    </row>
    <row r="18" spans="1:26" s="61" customFormat="1" ht="21.75" customHeight="1" thickBot="1" x14ac:dyDescent="0.3">
      <c r="A18" s="53"/>
      <c r="B18" s="54"/>
      <c r="C18" s="55">
        <f>+O12</f>
        <v>1.1499999999999999</v>
      </c>
      <c r="D18" s="55">
        <v>0</v>
      </c>
      <c r="E18" s="56"/>
      <c r="F18" s="57"/>
      <c r="G18" s="62"/>
      <c r="H18" s="58"/>
      <c r="I18" s="59"/>
      <c r="J18" s="63"/>
      <c r="K18" s="56"/>
      <c r="L18" s="56"/>
      <c r="M18" s="56"/>
      <c r="N18" s="56"/>
      <c r="O18" s="56"/>
      <c r="P18" s="60"/>
      <c r="Q18" s="53"/>
      <c r="R18" s="53"/>
      <c r="S18" s="53"/>
      <c r="T18" s="53"/>
      <c r="U18" s="53"/>
      <c r="V18" s="53"/>
      <c r="W18" s="53"/>
      <c r="X18" s="53"/>
      <c r="Y18" s="53"/>
      <c r="Z18" s="53"/>
    </row>
    <row r="19" spans="1:26" s="61" customFormat="1" ht="13.5" customHeight="1" x14ac:dyDescent="0.25">
      <c r="A19" s="53"/>
      <c r="B19" s="210">
        <v>1</v>
      </c>
      <c r="C19" s="213">
        <f>+C18+$N$12</f>
        <v>1.45</v>
      </c>
      <c r="D19" s="190">
        <v>0.14299999999999999</v>
      </c>
      <c r="E19" s="190">
        <v>8.4000000000000005E-2</v>
      </c>
      <c r="F19" s="64" t="s">
        <v>71</v>
      </c>
      <c r="G19" s="65">
        <v>0</v>
      </c>
      <c r="H19" s="66"/>
      <c r="I19" s="67"/>
      <c r="J19" s="68">
        <v>4.0000000000000001E-3</v>
      </c>
      <c r="K19" s="190">
        <f>+IF(E19&lt;=0.12,(J21),(IF(E19&lt;0.16,((J20+2*J21+J22)/4),IF(E19&gt;=0.16,((J19+3*J20+2*J21+3*J22+J23)/10)))))</f>
        <v>1.0999999999999999E-2</v>
      </c>
      <c r="L19" s="190">
        <f>ROUND(+(D18+D19)/2*(C19-C18),3)</f>
        <v>2.1000000000000001E-2</v>
      </c>
      <c r="M19" s="190">
        <f>ROUND(+K19*L19,4)</f>
        <v>2.0000000000000001E-4</v>
      </c>
      <c r="N19" s="193">
        <f>ROUND(+M19/$M$153*100,2)</f>
        <v>0.09</v>
      </c>
      <c r="O19" s="194"/>
      <c r="P19" s="195"/>
      <c r="Q19" s="53"/>
      <c r="R19" s="53"/>
      <c r="S19" s="53"/>
      <c r="T19" s="53"/>
      <c r="U19" s="53"/>
      <c r="V19" s="53"/>
      <c r="W19" s="53"/>
      <c r="X19" s="53"/>
      <c r="Y19" s="53"/>
      <c r="Z19" s="53"/>
    </row>
    <row r="20" spans="1:26" s="61" customFormat="1" ht="13.5" customHeight="1" x14ac:dyDescent="0.25">
      <c r="A20" s="53"/>
      <c r="B20" s="211"/>
      <c r="C20" s="191"/>
      <c r="D20" s="191"/>
      <c r="E20" s="191"/>
      <c r="F20" s="69" t="s">
        <v>72</v>
      </c>
      <c r="G20" s="70" t="str">
        <f>IF(E19&lt;0.125,"NA",IF(0.125&lt;=E19,(0.2*E19)))</f>
        <v>NA</v>
      </c>
      <c r="H20" s="71"/>
      <c r="I20" s="72"/>
      <c r="J20" s="73"/>
      <c r="K20" s="191"/>
      <c r="L20" s="191"/>
      <c r="M20" s="191"/>
      <c r="N20" s="191"/>
      <c r="O20" s="191"/>
      <c r="P20" s="196"/>
      <c r="Q20" s="53"/>
      <c r="R20" s="53"/>
      <c r="S20" s="53"/>
      <c r="T20" s="53"/>
      <c r="U20" s="53"/>
      <c r="V20" s="53"/>
      <c r="W20" s="53"/>
      <c r="X20" s="53"/>
      <c r="Y20" s="53"/>
      <c r="Z20" s="53"/>
    </row>
    <row r="21" spans="1:26" s="61" customFormat="1" ht="13.5" customHeight="1" x14ac:dyDescent="0.25">
      <c r="A21" s="53"/>
      <c r="B21" s="211"/>
      <c r="C21" s="191"/>
      <c r="D21" s="191"/>
      <c r="E21" s="191"/>
      <c r="F21" s="69" t="s">
        <v>73</v>
      </c>
      <c r="G21" s="70">
        <f>+E19*0.4</f>
        <v>3.3600000000000005E-2</v>
      </c>
      <c r="H21" s="71"/>
      <c r="I21" s="72"/>
      <c r="J21" s="73">
        <v>1.0999999999999999E-2</v>
      </c>
      <c r="K21" s="191"/>
      <c r="L21" s="191"/>
      <c r="M21" s="191"/>
      <c r="N21" s="191"/>
      <c r="O21" s="191"/>
      <c r="P21" s="196"/>
      <c r="Q21" s="53"/>
      <c r="R21" s="53"/>
      <c r="S21" s="53"/>
      <c r="T21" s="53"/>
      <c r="U21" s="53"/>
      <c r="V21" s="53"/>
      <c r="W21" s="53"/>
      <c r="X21" s="53"/>
      <c r="Y21" s="53"/>
      <c r="Z21" s="53"/>
    </row>
    <row r="22" spans="1:26" s="61" customFormat="1" ht="13.5" customHeight="1" x14ac:dyDescent="0.25">
      <c r="A22" s="53"/>
      <c r="B22" s="211"/>
      <c r="C22" s="191"/>
      <c r="D22" s="191"/>
      <c r="E22" s="191"/>
      <c r="F22" s="69" t="s">
        <v>74</v>
      </c>
      <c r="G22" s="70" t="str">
        <f>IF(E19&lt;0.125,"NA",IF(0.125&lt;=E19,(0.8*E19)))</f>
        <v>NA</v>
      </c>
      <c r="H22" s="71"/>
      <c r="I22" s="72"/>
      <c r="J22" s="73"/>
      <c r="K22" s="191"/>
      <c r="L22" s="191"/>
      <c r="M22" s="191"/>
      <c r="N22" s="191"/>
      <c r="O22" s="191"/>
      <c r="P22" s="196"/>
      <c r="Q22" s="53"/>
      <c r="R22" s="53"/>
      <c r="S22" s="53"/>
      <c r="T22" s="53"/>
      <c r="U22" s="53"/>
      <c r="V22" s="53"/>
      <c r="W22" s="53"/>
      <c r="X22" s="53"/>
      <c r="Y22" s="53"/>
      <c r="Z22" s="53"/>
    </row>
    <row r="23" spans="1:26" s="61" customFormat="1" ht="13.5" customHeight="1" thickBot="1" x14ac:dyDescent="0.3">
      <c r="A23" s="53"/>
      <c r="B23" s="212"/>
      <c r="C23" s="192"/>
      <c r="D23" s="192"/>
      <c r="E23" s="192"/>
      <c r="F23" s="74" t="s">
        <v>75</v>
      </c>
      <c r="G23" s="75">
        <f>+E19</f>
        <v>8.4000000000000005E-2</v>
      </c>
      <c r="H23" s="76"/>
      <c r="I23" s="77"/>
      <c r="J23" s="78">
        <v>5.0000000000000001E-3</v>
      </c>
      <c r="K23" s="192"/>
      <c r="L23" s="192"/>
      <c r="M23" s="192"/>
      <c r="N23" s="192"/>
      <c r="O23" s="192"/>
      <c r="P23" s="197"/>
      <c r="Q23" s="53"/>
      <c r="R23" s="53"/>
      <c r="S23" s="53"/>
      <c r="T23" s="53"/>
      <c r="U23" s="53"/>
      <c r="V23" s="53"/>
      <c r="W23" s="53"/>
      <c r="X23" s="53"/>
      <c r="Y23" s="53"/>
      <c r="Z23" s="53"/>
    </row>
    <row r="24" spans="1:26" s="61" customFormat="1" ht="13.5" customHeight="1" x14ac:dyDescent="0.25">
      <c r="A24" s="53"/>
      <c r="B24" s="210">
        <v>2</v>
      </c>
      <c r="C24" s="213">
        <f>+C19+$N$12</f>
        <v>1.75</v>
      </c>
      <c r="D24" s="190">
        <v>0.26600000000000001</v>
      </c>
      <c r="E24" s="190">
        <v>0.17</v>
      </c>
      <c r="F24" s="64" t="s">
        <v>71</v>
      </c>
      <c r="G24" s="65">
        <v>0</v>
      </c>
      <c r="H24" s="66"/>
      <c r="I24" s="67"/>
      <c r="J24" s="68">
        <v>1E-3</v>
      </c>
      <c r="K24" s="190">
        <f t="shared" ref="K24" si="0">+IF(E24&lt;=0.12,(J26),(IF(E24&lt;0.16,((J25+2*J26+J27)/4),IF(E24&gt;=0.16,((J24+3*J25+2*J26+3*J27+J28)/10)))))</f>
        <v>1.3600000000000001E-2</v>
      </c>
      <c r="L24" s="190">
        <f>ROUND(+(D19+D24)/2*(C24-C19),3)</f>
        <v>6.0999999999999999E-2</v>
      </c>
      <c r="M24" s="190">
        <f t="shared" ref="M24" si="1">ROUND(+K24*L24,4)</f>
        <v>8.0000000000000004E-4</v>
      </c>
      <c r="N24" s="193">
        <f>ROUND(+M24/$M$153*100,2)</f>
        <v>0.37</v>
      </c>
      <c r="O24" s="194"/>
      <c r="P24" s="195"/>
      <c r="Q24" s="53"/>
      <c r="R24" s="53"/>
      <c r="S24" s="53"/>
      <c r="T24" s="53"/>
      <c r="U24" s="53"/>
      <c r="V24" s="53"/>
      <c r="W24" s="53"/>
      <c r="X24" s="53"/>
      <c r="Y24" s="53"/>
      <c r="Z24" s="53"/>
    </row>
    <row r="25" spans="1:26" s="61" customFormat="1" ht="13.5" customHeight="1" x14ac:dyDescent="0.25">
      <c r="A25" s="53"/>
      <c r="B25" s="211"/>
      <c r="C25" s="191"/>
      <c r="D25" s="191"/>
      <c r="E25" s="191"/>
      <c r="F25" s="69" t="s">
        <v>72</v>
      </c>
      <c r="G25" s="70">
        <f t="shared" ref="G25" si="2">IF(E24&lt;0.125,"NA",IF(0.125&lt;=E24,(0.2*E24)))</f>
        <v>3.4000000000000002E-2</v>
      </c>
      <c r="H25" s="71"/>
      <c r="I25" s="72"/>
      <c r="J25" s="73">
        <v>3.0000000000000001E-3</v>
      </c>
      <c r="K25" s="191"/>
      <c r="L25" s="191"/>
      <c r="M25" s="191"/>
      <c r="N25" s="191"/>
      <c r="O25" s="191"/>
      <c r="P25" s="196"/>
      <c r="Q25" s="53"/>
      <c r="R25" s="53"/>
      <c r="S25" s="53"/>
      <c r="T25" s="53"/>
      <c r="U25" s="53"/>
      <c r="V25" s="53"/>
      <c r="W25" s="53"/>
      <c r="X25" s="53"/>
      <c r="Y25" s="53"/>
      <c r="Z25" s="53"/>
    </row>
    <row r="26" spans="1:26" s="61" customFormat="1" ht="13.5" customHeight="1" x14ac:dyDescent="0.25">
      <c r="A26" s="53"/>
      <c r="B26" s="211"/>
      <c r="C26" s="191"/>
      <c r="D26" s="191"/>
      <c r="E26" s="191"/>
      <c r="F26" s="69" t="s">
        <v>73</v>
      </c>
      <c r="G26" s="70">
        <f t="shared" ref="G26" si="3">+E24*0.4</f>
        <v>6.8000000000000005E-2</v>
      </c>
      <c r="H26" s="71"/>
      <c r="I26" s="72"/>
      <c r="J26" s="73">
        <v>1.7000000000000001E-2</v>
      </c>
      <c r="K26" s="191"/>
      <c r="L26" s="191"/>
      <c r="M26" s="191"/>
      <c r="N26" s="191"/>
      <c r="O26" s="191"/>
      <c r="P26" s="196"/>
      <c r="Q26" s="53"/>
      <c r="R26" s="53"/>
      <c r="S26" s="53"/>
      <c r="T26" s="53"/>
      <c r="U26" s="53"/>
      <c r="V26" s="53"/>
      <c r="W26" s="53"/>
      <c r="X26" s="53"/>
      <c r="Y26" s="53"/>
      <c r="Z26" s="53"/>
    </row>
    <row r="27" spans="1:26" s="61" customFormat="1" ht="13.5" customHeight="1" x14ac:dyDescent="0.25">
      <c r="A27" s="53"/>
      <c r="B27" s="211"/>
      <c r="C27" s="191"/>
      <c r="D27" s="191"/>
      <c r="E27" s="191"/>
      <c r="F27" s="69" t="s">
        <v>74</v>
      </c>
      <c r="G27" s="70">
        <f t="shared" ref="G27" si="4">IF(E24&lt;0.125,"NA",IF(0.125&lt;=E24,(0.8*E24)))</f>
        <v>0.13600000000000001</v>
      </c>
      <c r="H27" s="71"/>
      <c r="I27" s="72"/>
      <c r="J27" s="73">
        <v>2.3E-2</v>
      </c>
      <c r="K27" s="191"/>
      <c r="L27" s="191"/>
      <c r="M27" s="191"/>
      <c r="N27" s="191"/>
      <c r="O27" s="191"/>
      <c r="P27" s="196"/>
      <c r="Q27" s="53"/>
      <c r="R27" s="53"/>
      <c r="S27" s="53"/>
      <c r="T27" s="53"/>
      <c r="U27" s="53"/>
      <c r="V27" s="53"/>
      <c r="W27" s="53"/>
      <c r="X27" s="53"/>
      <c r="Y27" s="53"/>
      <c r="Z27" s="53"/>
    </row>
    <row r="28" spans="1:26" s="61" customFormat="1" ht="13.5" customHeight="1" thickBot="1" x14ac:dyDescent="0.3">
      <c r="A28" s="53"/>
      <c r="B28" s="212"/>
      <c r="C28" s="192"/>
      <c r="D28" s="192"/>
      <c r="E28" s="192"/>
      <c r="F28" s="74" t="s">
        <v>75</v>
      </c>
      <c r="G28" s="75">
        <f t="shared" ref="G28" si="5">+E24</f>
        <v>0.17</v>
      </c>
      <c r="H28" s="76"/>
      <c r="I28" s="77"/>
      <c r="J28" s="78">
        <v>2.3E-2</v>
      </c>
      <c r="K28" s="192"/>
      <c r="L28" s="192"/>
      <c r="M28" s="192"/>
      <c r="N28" s="192"/>
      <c r="O28" s="192"/>
      <c r="P28" s="197"/>
      <c r="Q28" s="53"/>
      <c r="R28" s="53"/>
      <c r="S28" s="53"/>
      <c r="T28" s="53"/>
      <c r="U28" s="53"/>
      <c r="V28" s="53"/>
      <c r="W28" s="53"/>
      <c r="X28" s="53"/>
      <c r="Y28" s="53"/>
      <c r="Z28" s="53"/>
    </row>
    <row r="29" spans="1:26" s="61" customFormat="1" ht="13.5" customHeight="1" x14ac:dyDescent="0.25">
      <c r="A29" s="53"/>
      <c r="B29" s="210">
        <v>3</v>
      </c>
      <c r="C29" s="213">
        <f t="shared" ref="C29" si="6">+C24+$N$12</f>
        <v>2.0499999999999998</v>
      </c>
      <c r="D29" s="190">
        <v>0.27400000000000002</v>
      </c>
      <c r="E29" s="190">
        <v>0.30099999999999999</v>
      </c>
      <c r="F29" s="64" t="s">
        <v>71</v>
      </c>
      <c r="G29" s="65">
        <v>0</v>
      </c>
      <c r="H29" s="66"/>
      <c r="I29" s="67"/>
      <c r="J29" s="68">
        <v>2.1999999999999999E-2</v>
      </c>
      <c r="K29" s="190">
        <f t="shared" ref="K29" si="7">+IF(E29&lt;=0.12,(J31),(IF(E29&lt;0.16,((J30+2*J31+J32)/4),IF(E29&gt;=0.16,((J29+3*J30+2*J31+3*J32+J33)/10)))))</f>
        <v>2.8700000000000003E-2</v>
      </c>
      <c r="L29" s="190">
        <f t="shared" ref="L29" si="8">ROUND(+(D24+D29)/2*(C29-C24),3)</f>
        <v>8.1000000000000003E-2</v>
      </c>
      <c r="M29" s="190">
        <f t="shared" ref="M29" si="9">ROUND(+K29*L29,4)</f>
        <v>2.3E-3</v>
      </c>
      <c r="N29" s="193">
        <f>ROUND(+M29/$M$153*100,2)</f>
        <v>1.06</v>
      </c>
      <c r="O29" s="194"/>
      <c r="P29" s="195"/>
      <c r="Q29" s="53"/>
      <c r="R29" s="53"/>
      <c r="S29" s="53"/>
      <c r="T29" s="53"/>
      <c r="U29" s="53"/>
      <c r="V29" s="53"/>
      <c r="W29" s="53"/>
      <c r="X29" s="53"/>
      <c r="Y29" s="53"/>
      <c r="Z29" s="53"/>
    </row>
    <row r="30" spans="1:26" s="61" customFormat="1" ht="13.5" customHeight="1" x14ac:dyDescent="0.25">
      <c r="A30" s="53"/>
      <c r="B30" s="211"/>
      <c r="C30" s="191"/>
      <c r="D30" s="191"/>
      <c r="E30" s="191"/>
      <c r="F30" s="69" t="s">
        <v>72</v>
      </c>
      <c r="G30" s="70">
        <f t="shared" ref="G30" si="10">IF(E29&lt;0.125,"NA",IF(0.125&lt;=E29,(0.2*E29)))</f>
        <v>6.0200000000000004E-2</v>
      </c>
      <c r="H30" s="71"/>
      <c r="I30" s="72"/>
      <c r="J30" s="73">
        <v>0.02</v>
      </c>
      <c r="K30" s="191"/>
      <c r="L30" s="191"/>
      <c r="M30" s="191"/>
      <c r="N30" s="191"/>
      <c r="O30" s="191"/>
      <c r="P30" s="196"/>
      <c r="Q30" s="53"/>
      <c r="R30" s="53"/>
      <c r="S30" s="53"/>
      <c r="T30" s="53"/>
      <c r="U30" s="53"/>
      <c r="V30" s="53"/>
      <c r="W30" s="53"/>
      <c r="X30" s="53"/>
      <c r="Y30" s="53"/>
      <c r="Z30" s="53"/>
    </row>
    <row r="31" spans="1:26" s="61" customFormat="1" ht="13.5" customHeight="1" x14ac:dyDescent="0.25">
      <c r="A31" s="53"/>
      <c r="B31" s="211"/>
      <c r="C31" s="191"/>
      <c r="D31" s="191"/>
      <c r="E31" s="191"/>
      <c r="F31" s="69" t="s">
        <v>73</v>
      </c>
      <c r="G31" s="70">
        <f t="shared" ref="G31" si="11">+E29*0.4</f>
        <v>0.12040000000000001</v>
      </c>
      <c r="H31" s="71"/>
      <c r="I31" s="72"/>
      <c r="J31" s="73">
        <v>3.1E-2</v>
      </c>
      <c r="K31" s="191"/>
      <c r="L31" s="191"/>
      <c r="M31" s="191"/>
      <c r="N31" s="191"/>
      <c r="O31" s="191"/>
      <c r="P31" s="196"/>
      <c r="Q31" s="53"/>
      <c r="R31" s="53"/>
      <c r="S31" s="53"/>
      <c r="T31" s="53"/>
      <c r="U31" s="53"/>
      <c r="V31" s="53"/>
      <c r="W31" s="53"/>
      <c r="X31" s="53"/>
      <c r="Y31" s="53"/>
      <c r="Z31" s="53"/>
    </row>
    <row r="32" spans="1:26" s="61" customFormat="1" ht="13.5" customHeight="1" x14ac:dyDescent="0.25">
      <c r="A32" s="53"/>
      <c r="B32" s="211"/>
      <c r="C32" s="191"/>
      <c r="D32" s="191"/>
      <c r="E32" s="191"/>
      <c r="F32" s="69" t="s">
        <v>74</v>
      </c>
      <c r="G32" s="70">
        <f t="shared" ref="G32" si="12">IF(E29&lt;0.125,"NA",IF(0.125&lt;=E29,(0.8*E29)))</f>
        <v>0.24080000000000001</v>
      </c>
      <c r="H32" s="71"/>
      <c r="I32" s="72"/>
      <c r="J32" s="73">
        <v>3.7999999999999999E-2</v>
      </c>
      <c r="K32" s="191"/>
      <c r="L32" s="191"/>
      <c r="M32" s="191"/>
      <c r="N32" s="191"/>
      <c r="O32" s="191"/>
      <c r="P32" s="196"/>
      <c r="Q32" s="53"/>
      <c r="R32" s="53"/>
      <c r="S32" s="53"/>
      <c r="T32" s="53"/>
      <c r="U32" s="53"/>
      <c r="V32" s="53"/>
      <c r="W32" s="53"/>
      <c r="X32" s="53"/>
      <c r="Y32" s="53"/>
      <c r="Z32" s="53"/>
    </row>
    <row r="33" spans="1:26" s="61" customFormat="1" ht="13.5" customHeight="1" thickBot="1" x14ac:dyDescent="0.3">
      <c r="A33" s="53"/>
      <c r="B33" s="212"/>
      <c r="C33" s="192"/>
      <c r="D33" s="192"/>
      <c r="E33" s="192"/>
      <c r="F33" s="74" t="s">
        <v>75</v>
      </c>
      <c r="G33" s="75">
        <f t="shared" ref="G33" si="13">+E29</f>
        <v>0.30099999999999999</v>
      </c>
      <c r="H33" s="76"/>
      <c r="I33" s="77"/>
      <c r="J33" s="78">
        <v>2.9000000000000001E-2</v>
      </c>
      <c r="K33" s="192"/>
      <c r="L33" s="192"/>
      <c r="M33" s="192"/>
      <c r="N33" s="192"/>
      <c r="O33" s="192"/>
      <c r="P33" s="197"/>
      <c r="Q33" s="53"/>
      <c r="R33" s="53"/>
      <c r="S33" s="53"/>
      <c r="T33" s="53"/>
      <c r="U33" s="53"/>
      <c r="V33" s="53"/>
      <c r="W33" s="53"/>
      <c r="X33" s="53"/>
      <c r="Y33" s="53"/>
      <c r="Z33" s="53"/>
    </row>
    <row r="34" spans="1:26" s="61" customFormat="1" ht="13.5" customHeight="1" x14ac:dyDescent="0.25">
      <c r="A34" s="53"/>
      <c r="B34" s="210">
        <v>4</v>
      </c>
      <c r="C34" s="213">
        <f t="shared" ref="C34" si="14">+C29+$N$12</f>
        <v>2.3499999999999996</v>
      </c>
      <c r="D34" s="190">
        <v>0.27400000000000002</v>
      </c>
      <c r="E34" s="190">
        <v>0.26900000000000002</v>
      </c>
      <c r="F34" s="64" t="s">
        <v>71</v>
      </c>
      <c r="G34" s="65">
        <v>0</v>
      </c>
      <c r="H34" s="66"/>
      <c r="I34" s="67"/>
      <c r="J34" s="68">
        <v>7.0000000000000001E-3</v>
      </c>
      <c r="K34" s="190">
        <f t="shared" ref="K34" si="15">+IF(E34&lt;=0.12,(J36),(IF(E34&lt;0.16,((J35+2*J36+J37)/4),IF(E34&gt;=0.16,((J34+3*J35+2*J36+3*J37+J38)/10)))))</f>
        <v>1.3300000000000001E-2</v>
      </c>
      <c r="L34" s="190">
        <f t="shared" ref="L34" si="16">ROUND(+(D29+D34)/2*(C34-C29),3)</f>
        <v>8.2000000000000003E-2</v>
      </c>
      <c r="M34" s="190">
        <f t="shared" ref="M34" si="17">ROUND(+K34*L34,4)</f>
        <v>1.1000000000000001E-3</v>
      </c>
      <c r="N34" s="193">
        <f>ROUND(+M34/$M$153*100,2)</f>
        <v>0.51</v>
      </c>
      <c r="O34" s="194"/>
      <c r="P34" s="195"/>
      <c r="Q34" s="53"/>
      <c r="R34" s="53"/>
      <c r="S34" s="53"/>
      <c r="T34" s="53"/>
      <c r="U34" s="53"/>
      <c r="V34" s="53"/>
      <c r="W34" s="53"/>
      <c r="X34" s="53"/>
      <c r="Y34" s="53"/>
      <c r="Z34" s="53"/>
    </row>
    <row r="35" spans="1:26" s="61" customFormat="1" ht="13.5" customHeight="1" x14ac:dyDescent="0.25">
      <c r="A35" s="53"/>
      <c r="B35" s="211"/>
      <c r="C35" s="191"/>
      <c r="D35" s="191"/>
      <c r="E35" s="191"/>
      <c r="F35" s="69" t="s">
        <v>72</v>
      </c>
      <c r="G35" s="70">
        <f t="shared" ref="G35" si="18">IF(E34&lt;0.125,"NA",IF(0.125&lt;=E34,(0.2*E34)))</f>
        <v>5.3800000000000008E-2</v>
      </c>
      <c r="H35" s="71"/>
      <c r="I35" s="72"/>
      <c r="J35" s="73">
        <v>1.0999999999999999E-2</v>
      </c>
      <c r="K35" s="191"/>
      <c r="L35" s="191"/>
      <c r="M35" s="191"/>
      <c r="N35" s="191"/>
      <c r="O35" s="191"/>
      <c r="P35" s="196"/>
      <c r="Q35" s="53"/>
      <c r="R35" s="53"/>
      <c r="S35" s="53"/>
      <c r="T35" s="53"/>
      <c r="U35" s="53"/>
      <c r="V35" s="53"/>
      <c r="W35" s="53"/>
      <c r="X35" s="53"/>
      <c r="Y35" s="53"/>
      <c r="Z35" s="53"/>
    </row>
    <row r="36" spans="1:26" s="61" customFormat="1" ht="13.5" customHeight="1" x14ac:dyDescent="0.25">
      <c r="A36" s="53"/>
      <c r="B36" s="211"/>
      <c r="C36" s="191"/>
      <c r="D36" s="191"/>
      <c r="E36" s="191"/>
      <c r="F36" s="69" t="s">
        <v>73</v>
      </c>
      <c r="G36" s="70">
        <f t="shared" ref="G36" si="19">+E34*0.4</f>
        <v>0.10760000000000002</v>
      </c>
      <c r="H36" s="71"/>
      <c r="I36" s="72"/>
      <c r="J36" s="73">
        <v>1.4E-2</v>
      </c>
      <c r="K36" s="191"/>
      <c r="L36" s="191"/>
      <c r="M36" s="191"/>
      <c r="N36" s="191"/>
      <c r="O36" s="191"/>
      <c r="P36" s="196"/>
      <c r="Q36" s="53"/>
      <c r="R36" s="53"/>
      <c r="S36" s="53"/>
      <c r="T36" s="53"/>
      <c r="U36" s="53"/>
      <c r="V36" s="53"/>
      <c r="W36" s="53"/>
      <c r="X36" s="53"/>
      <c r="Y36" s="53"/>
      <c r="Z36" s="53"/>
    </row>
    <row r="37" spans="1:26" s="61" customFormat="1" ht="13.5" customHeight="1" x14ac:dyDescent="0.25">
      <c r="A37" s="53"/>
      <c r="B37" s="211"/>
      <c r="C37" s="191"/>
      <c r="D37" s="191"/>
      <c r="E37" s="191"/>
      <c r="F37" s="69" t="s">
        <v>74</v>
      </c>
      <c r="G37" s="70">
        <f t="shared" ref="G37" si="20">IF(E34&lt;0.125,"NA",IF(0.125&lt;=E34,(0.8*E34)))</f>
        <v>0.21520000000000003</v>
      </c>
      <c r="H37" s="71"/>
      <c r="I37" s="72"/>
      <c r="J37" s="73">
        <v>1.4999999999999999E-2</v>
      </c>
      <c r="K37" s="191"/>
      <c r="L37" s="191"/>
      <c r="M37" s="191"/>
      <c r="N37" s="191"/>
      <c r="O37" s="191"/>
      <c r="P37" s="196"/>
      <c r="Q37" s="53"/>
      <c r="R37" s="53"/>
      <c r="S37" s="53"/>
      <c r="T37" s="53"/>
      <c r="U37" s="53"/>
      <c r="V37" s="53"/>
      <c r="W37" s="53"/>
      <c r="X37" s="53"/>
      <c r="Y37" s="53"/>
      <c r="Z37" s="53"/>
    </row>
    <row r="38" spans="1:26" s="61" customFormat="1" ht="13.5" customHeight="1" thickBot="1" x14ac:dyDescent="0.3">
      <c r="A38" s="53"/>
      <c r="B38" s="212"/>
      <c r="C38" s="192"/>
      <c r="D38" s="192"/>
      <c r="E38" s="192"/>
      <c r="F38" s="74" t="s">
        <v>75</v>
      </c>
      <c r="G38" s="75">
        <f t="shared" ref="G38" si="21">+E34</f>
        <v>0.26900000000000002</v>
      </c>
      <c r="H38" s="76"/>
      <c r="I38" s="77"/>
      <c r="J38" s="78">
        <v>0.02</v>
      </c>
      <c r="K38" s="192"/>
      <c r="L38" s="192"/>
      <c r="M38" s="192"/>
      <c r="N38" s="192"/>
      <c r="O38" s="192"/>
      <c r="P38" s="197"/>
      <c r="Q38" s="53"/>
      <c r="R38" s="53"/>
      <c r="S38" s="53"/>
      <c r="T38" s="53"/>
      <c r="U38" s="53"/>
      <c r="V38" s="53"/>
      <c r="W38" s="53"/>
      <c r="X38" s="53"/>
      <c r="Y38" s="53"/>
      <c r="Z38" s="53"/>
    </row>
    <row r="39" spans="1:26" s="61" customFormat="1" ht="13.5" customHeight="1" x14ac:dyDescent="0.25">
      <c r="A39" s="53"/>
      <c r="B39" s="210">
        <v>5</v>
      </c>
      <c r="C39" s="213">
        <f t="shared" ref="C39" si="22">+C34+$N$12</f>
        <v>2.6499999999999995</v>
      </c>
      <c r="D39" s="190">
        <v>0.30599999999999999</v>
      </c>
      <c r="E39" s="190">
        <v>0.29599999999999999</v>
      </c>
      <c r="F39" s="64" t="s">
        <v>71</v>
      </c>
      <c r="G39" s="65">
        <v>0</v>
      </c>
      <c r="H39" s="66"/>
      <c r="I39" s="67"/>
      <c r="J39" s="68">
        <v>2.1999999999999999E-2</v>
      </c>
      <c r="K39" s="190">
        <f t="shared" ref="K39" si="23">+IF(E39&lt;=0.12,(J41),(IF(E39&lt;0.16,((J40+2*J41+J42)/4),IF(E39&gt;=0.16,((J39+3*J40+2*J41+3*J42+J43)/10)))))</f>
        <v>3.95E-2</v>
      </c>
      <c r="L39" s="190">
        <f t="shared" ref="L39" si="24">ROUND(+(D34+D39)/2*(C39-C34),3)</f>
        <v>8.6999999999999994E-2</v>
      </c>
      <c r="M39" s="190">
        <f t="shared" ref="M39" si="25">ROUND(+K39*L39,4)</f>
        <v>3.3999999999999998E-3</v>
      </c>
      <c r="N39" s="193">
        <f>ROUND(+M39/$M$153*100,2)</f>
        <v>1.57</v>
      </c>
      <c r="O39" s="194"/>
      <c r="P39" s="195"/>
      <c r="Q39" s="53"/>
      <c r="R39" s="53"/>
      <c r="S39" s="53"/>
      <c r="T39" s="53"/>
      <c r="U39" s="53"/>
      <c r="V39" s="53"/>
      <c r="W39" s="53"/>
      <c r="X39" s="53"/>
      <c r="Y39" s="53"/>
      <c r="Z39" s="53"/>
    </row>
    <row r="40" spans="1:26" s="61" customFormat="1" ht="13.5" customHeight="1" x14ac:dyDescent="0.25">
      <c r="A40" s="53"/>
      <c r="B40" s="211"/>
      <c r="C40" s="191"/>
      <c r="D40" s="191"/>
      <c r="E40" s="191"/>
      <c r="F40" s="69" t="s">
        <v>72</v>
      </c>
      <c r="G40" s="70">
        <f t="shared" ref="G40" si="26">IF(E39&lt;0.125,"NA",IF(0.125&lt;=E39,(0.2*E39)))</f>
        <v>5.9200000000000003E-2</v>
      </c>
      <c r="H40" s="71"/>
      <c r="I40" s="72"/>
      <c r="J40" s="73">
        <v>2.5999999999999999E-2</v>
      </c>
      <c r="K40" s="191"/>
      <c r="L40" s="191"/>
      <c r="M40" s="191"/>
      <c r="N40" s="191"/>
      <c r="O40" s="191"/>
      <c r="P40" s="196"/>
      <c r="Q40" s="53"/>
      <c r="R40" s="53"/>
      <c r="S40" s="53"/>
      <c r="T40" s="53"/>
      <c r="U40" s="53"/>
      <c r="V40" s="53"/>
      <c r="W40" s="53"/>
      <c r="X40" s="53"/>
      <c r="Y40" s="53"/>
      <c r="Z40" s="53"/>
    </row>
    <row r="41" spans="1:26" s="61" customFormat="1" ht="13.5" customHeight="1" x14ac:dyDescent="0.25">
      <c r="A41" s="53"/>
      <c r="B41" s="211"/>
      <c r="C41" s="191"/>
      <c r="D41" s="191"/>
      <c r="E41" s="191"/>
      <c r="F41" s="69" t="s">
        <v>73</v>
      </c>
      <c r="G41" s="70">
        <f t="shared" ref="G41" si="27">+E39*0.4</f>
        <v>0.11840000000000001</v>
      </c>
      <c r="H41" s="71"/>
      <c r="I41" s="72"/>
      <c r="J41" s="73">
        <v>5.8000000000000003E-2</v>
      </c>
      <c r="K41" s="191"/>
      <c r="L41" s="191"/>
      <c r="M41" s="191"/>
      <c r="N41" s="191"/>
      <c r="O41" s="191"/>
      <c r="P41" s="196"/>
      <c r="Q41" s="53"/>
      <c r="R41" s="53"/>
      <c r="S41" s="53"/>
      <c r="T41" s="53"/>
      <c r="U41" s="53"/>
      <c r="V41" s="53"/>
      <c r="W41" s="53"/>
      <c r="X41" s="53"/>
      <c r="Y41" s="53"/>
      <c r="Z41" s="53"/>
    </row>
    <row r="42" spans="1:26" s="61" customFormat="1" ht="13.5" customHeight="1" x14ac:dyDescent="0.25">
      <c r="A42" s="53"/>
      <c r="B42" s="211"/>
      <c r="C42" s="191"/>
      <c r="D42" s="191"/>
      <c r="E42" s="191"/>
      <c r="F42" s="69" t="s">
        <v>74</v>
      </c>
      <c r="G42" s="70">
        <f t="shared" ref="G42" si="28">IF(E39&lt;0.125,"NA",IF(0.125&lt;=E39,(0.8*E39)))</f>
        <v>0.23680000000000001</v>
      </c>
      <c r="H42" s="71"/>
      <c r="I42" s="72"/>
      <c r="J42" s="73">
        <v>5.0999999999999997E-2</v>
      </c>
      <c r="K42" s="191"/>
      <c r="L42" s="191"/>
      <c r="M42" s="191"/>
      <c r="N42" s="191"/>
      <c r="O42" s="191"/>
      <c r="P42" s="196"/>
      <c r="Q42" s="53"/>
      <c r="R42" s="53"/>
      <c r="S42" s="53"/>
      <c r="T42" s="53"/>
      <c r="U42" s="53"/>
      <c r="V42" s="53"/>
      <c r="W42" s="53"/>
      <c r="X42" s="53"/>
      <c r="Y42" s="53"/>
      <c r="Z42" s="53"/>
    </row>
    <row r="43" spans="1:26" s="61" customFormat="1" ht="13.5" customHeight="1" thickBot="1" x14ac:dyDescent="0.3">
      <c r="A43" s="53"/>
      <c r="B43" s="212"/>
      <c r="C43" s="192"/>
      <c r="D43" s="192"/>
      <c r="E43" s="192"/>
      <c r="F43" s="74" t="s">
        <v>75</v>
      </c>
      <c r="G43" s="75">
        <f t="shared" ref="G43" si="29">+E39</f>
        <v>0.29599999999999999</v>
      </c>
      <c r="H43" s="76"/>
      <c r="I43" s="77"/>
      <c r="J43" s="78">
        <v>2.5999999999999999E-2</v>
      </c>
      <c r="K43" s="192"/>
      <c r="L43" s="192"/>
      <c r="M43" s="192"/>
      <c r="N43" s="192"/>
      <c r="O43" s="192"/>
      <c r="P43" s="197"/>
      <c r="Q43" s="53"/>
      <c r="R43" s="53"/>
      <c r="S43" s="53"/>
      <c r="T43" s="53"/>
      <c r="U43" s="53"/>
      <c r="V43" s="53"/>
      <c r="W43" s="53"/>
      <c r="X43" s="53"/>
      <c r="Y43" s="53"/>
      <c r="Z43" s="53"/>
    </row>
    <row r="44" spans="1:26" s="61" customFormat="1" ht="13.5" customHeight="1" x14ac:dyDescent="0.25">
      <c r="A44" s="53"/>
      <c r="B44" s="210">
        <v>6</v>
      </c>
      <c r="C44" s="213">
        <f t="shared" ref="C44" si="30">+C39+$N$12</f>
        <v>2.9499999999999993</v>
      </c>
      <c r="D44" s="190">
        <v>0.32900000000000001</v>
      </c>
      <c r="E44" s="190">
        <v>0.30199999999999999</v>
      </c>
      <c r="F44" s="64" t="s">
        <v>71</v>
      </c>
      <c r="G44" s="65">
        <v>0</v>
      </c>
      <c r="H44" s="66"/>
      <c r="I44" s="67"/>
      <c r="J44" s="68">
        <v>1.6E-2</v>
      </c>
      <c r="K44" s="190">
        <f t="shared" ref="K44" si="31">+IF(E44&lt;=0.12,(J46),(IF(E44&lt;0.16,((J45+2*J46+J47)/4),IF(E44&gt;=0.16,((J44+3*J45+2*J46+3*J47+J48)/10)))))</f>
        <v>4.8700000000000007E-2</v>
      </c>
      <c r="L44" s="190">
        <f t="shared" ref="L44" si="32">ROUND(+(D39+D44)/2*(C44-C39),3)</f>
        <v>9.5000000000000001E-2</v>
      </c>
      <c r="M44" s="190">
        <f t="shared" ref="M44" si="33">ROUND(+K44*L44,4)</f>
        <v>4.5999999999999999E-3</v>
      </c>
      <c r="N44" s="193">
        <f>ROUND(+M44/$M$153*100,2)</f>
        <v>2.12</v>
      </c>
      <c r="O44" s="194"/>
      <c r="P44" s="195"/>
      <c r="Q44" s="53"/>
      <c r="R44" s="53"/>
      <c r="S44" s="53"/>
      <c r="T44" s="53"/>
      <c r="U44" s="53"/>
      <c r="V44" s="53"/>
      <c r="W44" s="53"/>
      <c r="X44" s="53"/>
      <c r="Y44" s="53"/>
      <c r="Z44" s="53"/>
    </row>
    <row r="45" spans="1:26" s="61" customFormat="1" ht="13.5" customHeight="1" x14ac:dyDescent="0.25">
      <c r="A45" s="53"/>
      <c r="B45" s="211"/>
      <c r="C45" s="191"/>
      <c r="D45" s="191"/>
      <c r="E45" s="191"/>
      <c r="F45" s="69" t="s">
        <v>72</v>
      </c>
      <c r="G45" s="70">
        <f t="shared" ref="G45" si="34">IF(E44&lt;0.125,"NA",IF(0.125&lt;=E44,(0.2*E44)))</f>
        <v>6.0400000000000002E-2</v>
      </c>
      <c r="H45" s="71"/>
      <c r="I45" s="72"/>
      <c r="J45" s="73">
        <v>3.6999999999999998E-2</v>
      </c>
      <c r="K45" s="191"/>
      <c r="L45" s="191"/>
      <c r="M45" s="191"/>
      <c r="N45" s="191"/>
      <c r="O45" s="191"/>
      <c r="P45" s="196"/>
      <c r="Q45" s="53"/>
      <c r="R45" s="53"/>
      <c r="S45" s="53"/>
      <c r="T45" s="53"/>
      <c r="U45" s="53"/>
      <c r="V45" s="53"/>
      <c r="W45" s="53"/>
      <c r="X45" s="53"/>
      <c r="Y45" s="53"/>
      <c r="Z45" s="53"/>
    </row>
    <row r="46" spans="1:26" s="61" customFormat="1" ht="13.5" customHeight="1" x14ac:dyDescent="0.25">
      <c r="A46" s="53"/>
      <c r="B46" s="211"/>
      <c r="C46" s="191"/>
      <c r="D46" s="191"/>
      <c r="E46" s="191"/>
      <c r="F46" s="69" t="s">
        <v>73</v>
      </c>
      <c r="G46" s="70">
        <f t="shared" ref="G46" si="35">+E44*0.4</f>
        <v>0.1208</v>
      </c>
      <c r="H46" s="71"/>
      <c r="I46" s="72"/>
      <c r="J46" s="73">
        <v>4.8000000000000001E-2</v>
      </c>
      <c r="K46" s="191"/>
      <c r="L46" s="191"/>
      <c r="M46" s="191"/>
      <c r="N46" s="191"/>
      <c r="O46" s="191"/>
      <c r="P46" s="196"/>
      <c r="Q46" s="53"/>
      <c r="R46" s="53"/>
      <c r="S46" s="53"/>
      <c r="T46" s="53"/>
      <c r="U46" s="53"/>
      <c r="V46" s="53"/>
      <c r="W46" s="53"/>
      <c r="X46" s="53"/>
      <c r="Y46" s="53"/>
      <c r="Z46" s="53"/>
    </row>
    <row r="47" spans="1:26" s="61" customFormat="1" ht="13.5" customHeight="1" x14ac:dyDescent="0.25">
      <c r="A47" s="53"/>
      <c r="B47" s="211"/>
      <c r="C47" s="191"/>
      <c r="D47" s="191"/>
      <c r="E47" s="191"/>
      <c r="F47" s="69" t="s">
        <v>74</v>
      </c>
      <c r="G47" s="70">
        <f t="shared" ref="G47" si="36">IF(E44&lt;0.125,"NA",IF(0.125&lt;=E44,(0.8*E44)))</f>
        <v>0.24160000000000001</v>
      </c>
      <c r="H47" s="71"/>
      <c r="I47" s="72"/>
      <c r="J47" s="73">
        <v>6.9000000000000006E-2</v>
      </c>
      <c r="K47" s="191"/>
      <c r="L47" s="191"/>
      <c r="M47" s="191"/>
      <c r="N47" s="191"/>
      <c r="O47" s="191"/>
      <c r="P47" s="196"/>
      <c r="Q47" s="53"/>
      <c r="R47" s="53"/>
      <c r="S47" s="53"/>
      <c r="T47" s="53"/>
      <c r="U47" s="53"/>
      <c r="V47" s="53"/>
      <c r="W47" s="53"/>
      <c r="X47" s="53"/>
      <c r="Y47" s="53"/>
      <c r="Z47" s="53"/>
    </row>
    <row r="48" spans="1:26" s="61" customFormat="1" ht="13.5" customHeight="1" thickBot="1" x14ac:dyDescent="0.3">
      <c r="A48" s="53"/>
      <c r="B48" s="212"/>
      <c r="C48" s="192"/>
      <c r="D48" s="192"/>
      <c r="E48" s="192"/>
      <c r="F48" s="74" t="s">
        <v>75</v>
      </c>
      <c r="G48" s="75">
        <f t="shared" ref="G48" si="37">+E44</f>
        <v>0.30199999999999999</v>
      </c>
      <c r="H48" s="76"/>
      <c r="I48" s="77"/>
      <c r="J48" s="78">
        <v>5.7000000000000002E-2</v>
      </c>
      <c r="K48" s="192"/>
      <c r="L48" s="192"/>
      <c r="M48" s="192"/>
      <c r="N48" s="192"/>
      <c r="O48" s="192"/>
      <c r="P48" s="197"/>
      <c r="Q48" s="53"/>
      <c r="R48" s="53"/>
      <c r="S48" s="53"/>
      <c r="T48" s="53"/>
      <c r="U48" s="53"/>
      <c r="V48" s="53"/>
      <c r="W48" s="53"/>
      <c r="X48" s="53"/>
      <c r="Y48" s="53"/>
      <c r="Z48" s="53"/>
    </row>
    <row r="49" spans="1:26" s="61" customFormat="1" ht="13.5" customHeight="1" x14ac:dyDescent="0.25">
      <c r="A49" s="53"/>
      <c r="B49" s="210">
        <v>7</v>
      </c>
      <c r="C49" s="213">
        <f t="shared" ref="C49" si="38">+C44+$N$12</f>
        <v>3.2499999999999991</v>
      </c>
      <c r="D49" s="190">
        <v>0.24</v>
      </c>
      <c r="E49" s="190">
        <v>0.35799999999999998</v>
      </c>
      <c r="F49" s="64" t="s">
        <v>71</v>
      </c>
      <c r="G49" s="65">
        <v>0</v>
      </c>
      <c r="H49" s="66"/>
      <c r="I49" s="67"/>
      <c r="J49" s="68">
        <v>7.0000000000000001E-3</v>
      </c>
      <c r="K49" s="190">
        <f t="shared" ref="K49" si="39">+IF(E49&lt;=0.12,(J51),(IF(E49&lt;0.16,((J50+2*J51+J52)/4),IF(E49&gt;=0.16,((J49+3*J50+2*J51+3*J52+J53)/10)))))</f>
        <v>4.9099999999999998E-2</v>
      </c>
      <c r="L49" s="190">
        <f>ROUND(+(D44+D49)/2*(C49-C44),3)</f>
        <v>8.5000000000000006E-2</v>
      </c>
      <c r="M49" s="190">
        <f t="shared" ref="M49" si="40">ROUND(+K49*L49,4)</f>
        <v>4.1999999999999997E-3</v>
      </c>
      <c r="N49" s="193">
        <f>ROUND(+M49/$M$153*100,2)</f>
        <v>1.93</v>
      </c>
      <c r="O49" s="194"/>
      <c r="P49" s="195"/>
      <c r="Q49" s="53"/>
      <c r="R49" s="53"/>
      <c r="S49" s="53"/>
      <c r="T49" s="53"/>
      <c r="U49" s="53"/>
      <c r="V49" s="53"/>
      <c r="W49" s="53"/>
      <c r="X49" s="53"/>
      <c r="Y49" s="53"/>
      <c r="Z49" s="53"/>
    </row>
    <row r="50" spans="1:26" s="61" customFormat="1" ht="13.5" customHeight="1" x14ac:dyDescent="0.25">
      <c r="A50" s="53"/>
      <c r="B50" s="211"/>
      <c r="C50" s="191"/>
      <c r="D50" s="191"/>
      <c r="E50" s="191"/>
      <c r="F50" s="69" t="s">
        <v>72</v>
      </c>
      <c r="G50" s="70">
        <f t="shared" ref="G50" si="41">IF(E49&lt;0.125,"NA",IF(0.125&lt;=E49,(0.2*E49)))</f>
        <v>7.1599999999999997E-2</v>
      </c>
      <c r="H50" s="71"/>
      <c r="I50" s="72"/>
      <c r="J50" s="73">
        <v>4.4999999999999998E-2</v>
      </c>
      <c r="K50" s="191"/>
      <c r="L50" s="191"/>
      <c r="M50" s="191"/>
      <c r="N50" s="191"/>
      <c r="O50" s="191"/>
      <c r="P50" s="196"/>
      <c r="Q50" s="53"/>
      <c r="R50" s="53"/>
      <c r="S50" s="53"/>
      <c r="T50" s="53"/>
      <c r="U50" s="53"/>
      <c r="V50" s="53"/>
      <c r="W50" s="53"/>
      <c r="X50" s="53"/>
      <c r="Y50" s="53"/>
      <c r="Z50" s="53"/>
    </row>
    <row r="51" spans="1:26" s="61" customFormat="1" ht="13.5" customHeight="1" x14ac:dyDescent="0.25">
      <c r="A51" s="53"/>
      <c r="B51" s="211"/>
      <c r="C51" s="191"/>
      <c r="D51" s="191"/>
      <c r="E51" s="191"/>
      <c r="F51" s="69" t="s">
        <v>73</v>
      </c>
      <c r="G51" s="70">
        <f t="shared" ref="G51" si="42">+E49*0.4</f>
        <v>0.14319999999999999</v>
      </c>
      <c r="H51" s="71"/>
      <c r="I51" s="72"/>
      <c r="J51" s="73">
        <v>5.1999999999999998E-2</v>
      </c>
      <c r="K51" s="191"/>
      <c r="L51" s="191"/>
      <c r="M51" s="191"/>
      <c r="N51" s="191"/>
      <c r="O51" s="191"/>
      <c r="P51" s="196"/>
      <c r="Q51" s="53"/>
      <c r="R51" s="53"/>
      <c r="S51" s="53"/>
      <c r="T51" s="53"/>
      <c r="U51" s="53"/>
      <c r="V51" s="53"/>
      <c r="W51" s="53"/>
      <c r="X51" s="53"/>
      <c r="Y51" s="53"/>
      <c r="Z51" s="53"/>
    </row>
    <row r="52" spans="1:26" s="61" customFormat="1" ht="13.5" customHeight="1" x14ac:dyDescent="0.25">
      <c r="A52" s="53"/>
      <c r="B52" s="211"/>
      <c r="C52" s="191"/>
      <c r="D52" s="191"/>
      <c r="E52" s="191"/>
      <c r="F52" s="69" t="s">
        <v>74</v>
      </c>
      <c r="G52" s="70">
        <f t="shared" ref="G52" si="43">IF(E49&lt;0.125,"NA",IF(0.125&lt;=E49,(0.8*E49)))</f>
        <v>0.28639999999999999</v>
      </c>
      <c r="H52" s="71"/>
      <c r="I52" s="72"/>
      <c r="J52" s="73">
        <v>6.2E-2</v>
      </c>
      <c r="K52" s="191"/>
      <c r="L52" s="191"/>
      <c r="M52" s="191"/>
      <c r="N52" s="191"/>
      <c r="O52" s="191"/>
      <c r="P52" s="196"/>
      <c r="Q52" s="53"/>
      <c r="R52" s="53"/>
      <c r="S52" s="53"/>
      <c r="T52" s="53"/>
      <c r="U52" s="53"/>
      <c r="V52" s="53"/>
      <c r="W52" s="53"/>
      <c r="X52" s="53"/>
      <c r="Y52" s="53"/>
      <c r="Z52" s="53"/>
    </row>
    <row r="53" spans="1:26" s="61" customFormat="1" ht="13.5" customHeight="1" thickBot="1" x14ac:dyDescent="0.3">
      <c r="A53" s="53"/>
      <c r="B53" s="212"/>
      <c r="C53" s="192"/>
      <c r="D53" s="192"/>
      <c r="E53" s="192"/>
      <c r="F53" s="74" t="s">
        <v>75</v>
      </c>
      <c r="G53" s="75">
        <f t="shared" ref="G53" si="44">+E49</f>
        <v>0.35799999999999998</v>
      </c>
      <c r="H53" s="76"/>
      <c r="I53" s="77"/>
      <c r="J53" s="78">
        <v>5.8999999999999997E-2</v>
      </c>
      <c r="K53" s="192"/>
      <c r="L53" s="192"/>
      <c r="M53" s="192"/>
      <c r="N53" s="192"/>
      <c r="O53" s="192"/>
      <c r="P53" s="197"/>
      <c r="Q53" s="53"/>
      <c r="R53" s="53"/>
      <c r="S53" s="53"/>
      <c r="T53" s="53"/>
      <c r="U53" s="53"/>
      <c r="V53" s="53"/>
      <c r="W53" s="53"/>
      <c r="X53" s="53"/>
      <c r="Y53" s="53"/>
      <c r="Z53" s="53"/>
    </row>
    <row r="54" spans="1:26" s="61" customFormat="1" ht="13.5" customHeight="1" x14ac:dyDescent="0.25">
      <c r="A54" s="53"/>
      <c r="B54" s="210">
        <v>8</v>
      </c>
      <c r="C54" s="213">
        <f t="shared" ref="C54" si="45">+C49+$N$12</f>
        <v>3.5499999999999989</v>
      </c>
      <c r="D54" s="190">
        <v>0.36399999999999999</v>
      </c>
      <c r="E54" s="190">
        <v>0.23599999999999999</v>
      </c>
      <c r="F54" s="64" t="s">
        <v>71</v>
      </c>
      <c r="G54" s="65">
        <v>0</v>
      </c>
      <c r="H54" s="66"/>
      <c r="I54" s="67"/>
      <c r="J54" s="68">
        <v>7.2999999999999995E-2</v>
      </c>
      <c r="K54" s="190">
        <f t="shared" ref="K54" si="46">+IF(E54&lt;=0.12,(J56),(IF(E54&lt;0.16,((J55+2*J56+J57)/4),IF(E54&gt;=0.16,((J54+3*J55+2*J56+3*J57+J58)/10)))))</f>
        <v>8.6599999999999996E-2</v>
      </c>
      <c r="L54" s="190">
        <f t="shared" ref="L54" si="47">ROUND(+(D49+D54)/2*(C54-C49),3)</f>
        <v>9.0999999999999998E-2</v>
      </c>
      <c r="M54" s="190">
        <f t="shared" ref="M54" si="48">ROUND(+K54*L54,4)</f>
        <v>7.9000000000000008E-3</v>
      </c>
      <c r="N54" s="193">
        <f>ROUND(+M54/$M$153*100,2)</f>
        <v>3.64</v>
      </c>
      <c r="O54" s="194"/>
      <c r="P54" s="195"/>
      <c r="Q54" s="53"/>
      <c r="R54" s="53"/>
      <c r="S54" s="53"/>
      <c r="T54" s="53"/>
      <c r="U54" s="53"/>
      <c r="V54" s="53"/>
      <c r="W54" s="53"/>
      <c r="X54" s="53"/>
      <c r="Y54" s="53"/>
      <c r="Z54" s="53"/>
    </row>
    <row r="55" spans="1:26" s="61" customFormat="1" ht="13.5" customHeight="1" x14ac:dyDescent="0.25">
      <c r="A55" s="53"/>
      <c r="B55" s="211"/>
      <c r="C55" s="191"/>
      <c r="D55" s="191"/>
      <c r="E55" s="191"/>
      <c r="F55" s="69" t="s">
        <v>72</v>
      </c>
      <c r="G55" s="70">
        <f t="shared" ref="G55" si="49">IF(E54&lt;0.125,"NA",IF(0.125&lt;=E54,(0.2*E54)))</f>
        <v>4.7199999999999999E-2</v>
      </c>
      <c r="H55" s="71"/>
      <c r="I55" s="72"/>
      <c r="J55" s="73">
        <v>7.3999999999999996E-2</v>
      </c>
      <c r="K55" s="191"/>
      <c r="L55" s="191"/>
      <c r="M55" s="191"/>
      <c r="N55" s="191"/>
      <c r="O55" s="191"/>
      <c r="P55" s="196"/>
      <c r="Q55" s="53"/>
      <c r="R55" s="53"/>
      <c r="S55" s="53"/>
      <c r="T55" s="53"/>
      <c r="U55" s="53"/>
      <c r="V55" s="53"/>
      <c r="W55" s="53"/>
      <c r="X55" s="53"/>
      <c r="Y55" s="53"/>
      <c r="Z55" s="53"/>
    </row>
    <row r="56" spans="1:26" s="61" customFormat="1" ht="13.5" customHeight="1" x14ac:dyDescent="0.25">
      <c r="A56" s="53"/>
      <c r="B56" s="211"/>
      <c r="C56" s="191"/>
      <c r="D56" s="191"/>
      <c r="E56" s="191"/>
      <c r="F56" s="69" t="s">
        <v>73</v>
      </c>
      <c r="G56" s="70">
        <f t="shared" ref="G56" si="50">+E54*0.4</f>
        <v>9.4399999999999998E-2</v>
      </c>
      <c r="H56" s="71"/>
      <c r="I56" s="72"/>
      <c r="J56" s="73">
        <v>6.8000000000000005E-2</v>
      </c>
      <c r="K56" s="191"/>
      <c r="L56" s="191"/>
      <c r="M56" s="191"/>
      <c r="N56" s="191"/>
      <c r="O56" s="191"/>
      <c r="P56" s="196"/>
      <c r="Q56" s="53"/>
      <c r="R56" s="53"/>
      <c r="S56" s="53"/>
      <c r="T56" s="53"/>
      <c r="U56" s="53"/>
      <c r="V56" s="53"/>
      <c r="W56" s="53"/>
      <c r="X56" s="53"/>
      <c r="Y56" s="53"/>
      <c r="Z56" s="53"/>
    </row>
    <row r="57" spans="1:26" s="61" customFormat="1" ht="13.5" customHeight="1" x14ac:dyDescent="0.25">
      <c r="A57" s="53"/>
      <c r="B57" s="211"/>
      <c r="C57" s="191"/>
      <c r="D57" s="191"/>
      <c r="E57" s="191"/>
      <c r="F57" s="69" t="s">
        <v>74</v>
      </c>
      <c r="G57" s="70">
        <f t="shared" ref="G57" si="51">IF(E54&lt;0.125,"NA",IF(0.125&lt;=E54,(0.8*E54)))</f>
        <v>0.1888</v>
      </c>
      <c r="H57" s="71"/>
      <c r="I57" s="72"/>
      <c r="J57" s="73">
        <v>0.107</v>
      </c>
      <c r="K57" s="191"/>
      <c r="L57" s="191"/>
      <c r="M57" s="191"/>
      <c r="N57" s="191"/>
      <c r="O57" s="191"/>
      <c r="P57" s="196"/>
      <c r="Q57" s="53"/>
      <c r="R57" s="53"/>
      <c r="S57" s="53"/>
      <c r="T57" s="53"/>
      <c r="U57" s="53"/>
      <c r="V57" s="53"/>
      <c r="W57" s="53"/>
      <c r="X57" s="53"/>
      <c r="Y57" s="53"/>
      <c r="Z57" s="53"/>
    </row>
    <row r="58" spans="1:26" s="61" customFormat="1" ht="13.5" customHeight="1" thickBot="1" x14ac:dyDescent="0.3">
      <c r="A58" s="53"/>
      <c r="B58" s="212"/>
      <c r="C58" s="192"/>
      <c r="D58" s="192"/>
      <c r="E58" s="192"/>
      <c r="F58" s="74" t="s">
        <v>75</v>
      </c>
      <c r="G58" s="75">
        <f t="shared" ref="G58" si="52">+E54</f>
        <v>0.23599999999999999</v>
      </c>
      <c r="H58" s="76"/>
      <c r="I58" s="77"/>
      <c r="J58" s="78">
        <v>0.114</v>
      </c>
      <c r="K58" s="192"/>
      <c r="L58" s="192"/>
      <c r="M58" s="192"/>
      <c r="N58" s="192"/>
      <c r="O58" s="192"/>
      <c r="P58" s="197"/>
      <c r="Q58" s="53"/>
      <c r="R58" s="53"/>
      <c r="S58" s="53"/>
      <c r="T58" s="53"/>
      <c r="U58" s="53"/>
      <c r="V58" s="53"/>
      <c r="W58" s="53"/>
      <c r="X58" s="53"/>
      <c r="Y58" s="53"/>
      <c r="Z58" s="53"/>
    </row>
    <row r="59" spans="1:26" s="61" customFormat="1" ht="13.5" customHeight="1" x14ac:dyDescent="0.25">
      <c r="A59" s="53"/>
      <c r="B59" s="210">
        <v>9</v>
      </c>
      <c r="C59" s="213">
        <f t="shared" ref="C59" si="53">+C54+$N$12</f>
        <v>3.8499999999999988</v>
      </c>
      <c r="D59" s="190">
        <v>0.3</v>
      </c>
      <c r="E59" s="190">
        <v>0.29499999999999998</v>
      </c>
      <c r="F59" s="64" t="s">
        <v>71</v>
      </c>
      <c r="G59" s="65">
        <v>0</v>
      </c>
      <c r="H59" s="66"/>
      <c r="I59" s="67"/>
      <c r="J59" s="68">
        <v>8.5000000000000006E-2</v>
      </c>
      <c r="K59" s="190">
        <f t="shared" ref="K59" si="54">+IF(E59&lt;=0.12,(J61),(IF(E59&lt;0.16,((J60+2*J61+J62)/4),IF(E59&gt;=0.16,((J59+3*J60+2*J61+3*J62+J63)/10)))))</f>
        <v>0.13120000000000001</v>
      </c>
      <c r="L59" s="190">
        <f>ROUND(+(D54+D59)/2*(C59-C54),3)</f>
        <v>0.1</v>
      </c>
      <c r="M59" s="190">
        <f t="shared" ref="M59" si="55">ROUND(+K59*L59,4)</f>
        <v>1.3100000000000001E-2</v>
      </c>
      <c r="N59" s="193">
        <f>ROUND(+M59/$M$153*100,2)</f>
        <v>6.03</v>
      </c>
      <c r="O59" s="194"/>
      <c r="P59" s="195"/>
      <c r="Q59" s="53"/>
      <c r="R59" s="53"/>
      <c r="S59" s="53"/>
      <c r="T59" s="53"/>
      <c r="U59" s="53"/>
      <c r="V59" s="53"/>
      <c r="W59" s="53"/>
      <c r="X59" s="53"/>
      <c r="Y59" s="53"/>
      <c r="Z59" s="53"/>
    </row>
    <row r="60" spans="1:26" s="61" customFormat="1" ht="13.5" customHeight="1" x14ac:dyDescent="0.25">
      <c r="A60" s="53"/>
      <c r="B60" s="211"/>
      <c r="C60" s="191"/>
      <c r="D60" s="191"/>
      <c r="E60" s="191"/>
      <c r="F60" s="69" t="s">
        <v>72</v>
      </c>
      <c r="G60" s="70">
        <f t="shared" ref="G60" si="56">IF(E59&lt;0.125,"NA",IF(0.125&lt;=E59,(0.2*E59)))</f>
        <v>5.8999999999999997E-2</v>
      </c>
      <c r="H60" s="71"/>
      <c r="I60" s="72"/>
      <c r="J60" s="73">
        <v>0.112</v>
      </c>
      <c r="K60" s="191"/>
      <c r="L60" s="191"/>
      <c r="M60" s="191"/>
      <c r="N60" s="191"/>
      <c r="O60" s="191"/>
      <c r="P60" s="196"/>
      <c r="Q60" s="53"/>
      <c r="R60" s="53"/>
      <c r="S60" s="53"/>
      <c r="T60" s="53"/>
      <c r="U60" s="53"/>
      <c r="V60" s="53"/>
      <c r="W60" s="53"/>
      <c r="X60" s="53"/>
      <c r="Y60" s="53"/>
      <c r="Z60" s="53"/>
    </row>
    <row r="61" spans="1:26" s="61" customFormat="1" ht="13.5" customHeight="1" x14ac:dyDescent="0.25">
      <c r="A61" s="53"/>
      <c r="B61" s="211"/>
      <c r="C61" s="191"/>
      <c r="D61" s="191"/>
      <c r="E61" s="191"/>
      <c r="F61" s="69" t="s">
        <v>73</v>
      </c>
      <c r="G61" s="70">
        <f t="shared" ref="G61" si="57">+E59*0.4</f>
        <v>0.11799999999999999</v>
      </c>
      <c r="H61" s="71"/>
      <c r="I61" s="72"/>
      <c r="J61" s="73">
        <v>0.113</v>
      </c>
      <c r="K61" s="191"/>
      <c r="L61" s="191"/>
      <c r="M61" s="191"/>
      <c r="N61" s="191"/>
      <c r="O61" s="191"/>
      <c r="P61" s="196"/>
      <c r="Q61" s="53"/>
      <c r="R61" s="53"/>
      <c r="S61" s="53"/>
      <c r="T61" s="53"/>
      <c r="U61" s="53"/>
      <c r="V61" s="53"/>
      <c r="W61" s="53"/>
      <c r="X61" s="53"/>
      <c r="Y61" s="53"/>
      <c r="Z61" s="53"/>
    </row>
    <row r="62" spans="1:26" s="61" customFormat="1" ht="13.5" customHeight="1" x14ac:dyDescent="0.25">
      <c r="A62" s="53"/>
      <c r="B62" s="211"/>
      <c r="C62" s="191"/>
      <c r="D62" s="191"/>
      <c r="E62" s="191"/>
      <c r="F62" s="69" t="s">
        <v>74</v>
      </c>
      <c r="G62" s="70">
        <f t="shared" ref="G62" si="58">IF(E59&lt;0.125,"NA",IF(0.125&lt;=E59,(0.8*E59)))</f>
        <v>0.23599999999999999</v>
      </c>
      <c r="H62" s="71"/>
      <c r="I62" s="72"/>
      <c r="J62" s="73">
        <v>0.16400000000000001</v>
      </c>
      <c r="K62" s="191"/>
      <c r="L62" s="191"/>
      <c r="M62" s="191"/>
      <c r="N62" s="191"/>
      <c r="O62" s="191"/>
      <c r="P62" s="196"/>
      <c r="Q62" s="53"/>
      <c r="R62" s="53"/>
      <c r="S62" s="53"/>
      <c r="T62" s="53"/>
      <c r="U62" s="53"/>
      <c r="V62" s="53"/>
      <c r="W62" s="53"/>
      <c r="X62" s="53"/>
      <c r="Y62" s="53"/>
      <c r="Z62" s="53"/>
    </row>
    <row r="63" spans="1:26" s="61" customFormat="1" ht="13.5" customHeight="1" thickBot="1" x14ac:dyDescent="0.3">
      <c r="A63" s="53"/>
      <c r="B63" s="212"/>
      <c r="C63" s="192"/>
      <c r="D63" s="192"/>
      <c r="E63" s="192"/>
      <c r="F63" s="74" t="s">
        <v>75</v>
      </c>
      <c r="G63" s="75">
        <f t="shared" ref="G63" si="59">+E59</f>
        <v>0.29499999999999998</v>
      </c>
      <c r="H63" s="76"/>
      <c r="I63" s="77"/>
      <c r="J63" s="78">
        <v>0.17299999999999999</v>
      </c>
      <c r="K63" s="192"/>
      <c r="L63" s="192"/>
      <c r="M63" s="192"/>
      <c r="N63" s="192"/>
      <c r="O63" s="192"/>
      <c r="P63" s="197"/>
      <c r="Q63" s="53"/>
      <c r="R63" s="53"/>
      <c r="S63" s="53"/>
      <c r="T63" s="53"/>
      <c r="U63" s="53"/>
      <c r="V63" s="53"/>
      <c r="W63" s="53"/>
      <c r="X63" s="53"/>
      <c r="Y63" s="53"/>
      <c r="Z63" s="53"/>
    </row>
    <row r="64" spans="1:26" s="61" customFormat="1" ht="13.5" customHeight="1" x14ac:dyDescent="0.25">
      <c r="A64" s="53"/>
      <c r="B64" s="210">
        <v>10</v>
      </c>
      <c r="C64" s="213">
        <f t="shared" ref="C64" si="60">+C59+$N$12</f>
        <v>4.1499999999999986</v>
      </c>
      <c r="D64" s="190">
        <v>0.48599999999999999</v>
      </c>
      <c r="E64" s="190">
        <v>0.53</v>
      </c>
      <c r="F64" s="64" t="s">
        <v>71</v>
      </c>
      <c r="G64" s="65">
        <v>0</v>
      </c>
      <c r="H64" s="66"/>
      <c r="I64" s="67"/>
      <c r="J64" s="68">
        <v>1.0999999999999999E-2</v>
      </c>
      <c r="K64" s="190">
        <f>+IF(E64&lt;=0.12,(J66),(IF(E64&lt;0.16,((J65+2*J66+J67)/4),IF(E64&gt;=0.16,((J64+3*J65+2*J66+3*J67+J68)/10)))))</f>
        <v>0.10959999999999999</v>
      </c>
      <c r="L64" s="190">
        <f t="shared" ref="L64" si="61">ROUND(+(D59+D64)/2*(C64-C59),3)</f>
        <v>0.11799999999999999</v>
      </c>
      <c r="M64" s="190">
        <f t="shared" ref="M64" si="62">ROUND(+K64*L64,4)</f>
        <v>1.29E-2</v>
      </c>
      <c r="N64" s="193">
        <f>ROUND(+M64/$M$153*100,2)</f>
        <v>5.94</v>
      </c>
      <c r="O64" s="194"/>
      <c r="P64" s="195"/>
      <c r="Q64" s="53"/>
      <c r="R64" s="53"/>
      <c r="S64" s="53"/>
      <c r="T64" s="53"/>
      <c r="U64" s="53"/>
      <c r="V64" s="53"/>
      <c r="W64" s="53"/>
      <c r="X64" s="53"/>
      <c r="Y64" s="53"/>
      <c r="Z64" s="53"/>
    </row>
    <row r="65" spans="1:26" s="61" customFormat="1" ht="13.5" customHeight="1" x14ac:dyDescent="0.25">
      <c r="A65" s="53"/>
      <c r="B65" s="211"/>
      <c r="C65" s="191"/>
      <c r="D65" s="191"/>
      <c r="E65" s="191"/>
      <c r="F65" s="69" t="s">
        <v>72</v>
      </c>
      <c r="G65" s="70">
        <f>IF(E64&lt;0.125,"NA",IF(0.125&lt;=E64,(0.2*E64)))</f>
        <v>0.10600000000000001</v>
      </c>
      <c r="H65" s="71"/>
      <c r="I65" s="72"/>
      <c r="J65" s="73">
        <v>8.5999999999999993E-2</v>
      </c>
      <c r="K65" s="191"/>
      <c r="L65" s="191"/>
      <c r="M65" s="191"/>
      <c r="N65" s="191"/>
      <c r="O65" s="191"/>
      <c r="P65" s="196"/>
      <c r="Q65" s="53"/>
      <c r="R65" s="53"/>
      <c r="S65" s="53"/>
      <c r="T65" s="53"/>
      <c r="U65" s="53"/>
      <c r="V65" s="53"/>
      <c r="W65" s="53"/>
      <c r="X65" s="53"/>
      <c r="Y65" s="53"/>
      <c r="Z65" s="53"/>
    </row>
    <row r="66" spans="1:26" s="61" customFormat="1" ht="13.5" customHeight="1" x14ac:dyDescent="0.25">
      <c r="A66" s="53"/>
      <c r="B66" s="211"/>
      <c r="C66" s="191"/>
      <c r="D66" s="191"/>
      <c r="E66" s="191"/>
      <c r="F66" s="69" t="s">
        <v>73</v>
      </c>
      <c r="G66" s="70">
        <f>+E64*0.4</f>
        <v>0.21200000000000002</v>
      </c>
      <c r="H66" s="71"/>
      <c r="I66" s="72"/>
      <c r="J66" s="73">
        <v>0.109</v>
      </c>
      <c r="K66" s="191"/>
      <c r="L66" s="191"/>
      <c r="M66" s="191"/>
      <c r="N66" s="191"/>
      <c r="O66" s="191"/>
      <c r="P66" s="196"/>
      <c r="Q66" s="53"/>
      <c r="R66" s="53"/>
      <c r="S66" s="53"/>
      <c r="T66" s="53"/>
      <c r="U66" s="53"/>
      <c r="V66" s="53"/>
      <c r="W66" s="53"/>
      <c r="X66" s="53"/>
      <c r="Y66" s="53"/>
      <c r="Z66" s="53"/>
    </row>
    <row r="67" spans="1:26" s="61" customFormat="1" ht="13.5" customHeight="1" x14ac:dyDescent="0.25">
      <c r="A67" s="53"/>
      <c r="B67" s="211"/>
      <c r="C67" s="191"/>
      <c r="D67" s="191"/>
      <c r="E67" s="191"/>
      <c r="F67" s="69" t="s">
        <v>74</v>
      </c>
      <c r="G67" s="70">
        <f>IF(E64&lt;0.125,"NA",IF(0.125&lt;=E64,(0.8*E64)))</f>
        <v>0.42400000000000004</v>
      </c>
      <c r="H67" s="71"/>
      <c r="I67" s="72"/>
      <c r="J67" s="73">
        <v>0.14499999999999999</v>
      </c>
      <c r="K67" s="191"/>
      <c r="L67" s="191"/>
      <c r="M67" s="191"/>
      <c r="N67" s="191"/>
      <c r="O67" s="191"/>
      <c r="P67" s="196"/>
      <c r="Q67" s="53"/>
      <c r="R67" s="53"/>
      <c r="S67" s="53"/>
      <c r="T67" s="53"/>
      <c r="U67" s="53"/>
      <c r="V67" s="53"/>
      <c r="W67" s="53"/>
      <c r="X67" s="53"/>
      <c r="Y67" s="53"/>
      <c r="Z67" s="53"/>
    </row>
    <row r="68" spans="1:26" s="61" customFormat="1" ht="13.5" customHeight="1" thickBot="1" x14ac:dyDescent="0.3">
      <c r="A68" s="53"/>
      <c r="B68" s="212"/>
      <c r="C68" s="192"/>
      <c r="D68" s="192"/>
      <c r="E68" s="192"/>
      <c r="F68" s="74" t="s">
        <v>75</v>
      </c>
      <c r="G68" s="75">
        <f>+E64</f>
        <v>0.53</v>
      </c>
      <c r="H68" s="76"/>
      <c r="I68" s="77"/>
      <c r="J68" s="78">
        <v>0.17399999999999999</v>
      </c>
      <c r="K68" s="192"/>
      <c r="L68" s="192"/>
      <c r="M68" s="192"/>
      <c r="N68" s="192"/>
      <c r="O68" s="192"/>
      <c r="P68" s="197"/>
      <c r="Q68" s="53"/>
      <c r="R68" s="53"/>
      <c r="S68" s="53"/>
      <c r="T68" s="53"/>
      <c r="U68" s="53"/>
      <c r="V68" s="53"/>
      <c r="W68" s="53"/>
      <c r="X68" s="53"/>
      <c r="Y68" s="53"/>
      <c r="Z68" s="53"/>
    </row>
    <row r="69" spans="1:26" s="61" customFormat="1" ht="13.5" customHeight="1" x14ac:dyDescent="0.25">
      <c r="A69" s="53"/>
      <c r="B69" s="210">
        <v>11</v>
      </c>
      <c r="C69" s="213">
        <f t="shared" ref="C69" si="63">+C64+$N$12</f>
        <v>4.4499999999999984</v>
      </c>
      <c r="D69" s="190">
        <v>0.58799999999999997</v>
      </c>
      <c r="E69" s="190">
        <v>0.48899999999999999</v>
      </c>
      <c r="F69" s="64" t="s">
        <v>71</v>
      </c>
      <c r="G69" s="65">
        <v>0</v>
      </c>
      <c r="H69" s="66"/>
      <c r="I69" s="67"/>
      <c r="J69" s="68">
        <v>8.1000000000000003E-2</v>
      </c>
      <c r="K69" s="190">
        <f t="shared" ref="K69" si="64">+IF(E69&lt;=0.12,(J71),(IF(E69&lt;0.16,((J70+2*J71+J72)/4),IF(E69&gt;=0.16,((J69+3*J70+2*J71+3*J72+J73)/10)))))</f>
        <v>0.22370000000000001</v>
      </c>
      <c r="L69" s="190">
        <f>ROUND(+(D64+D69)/2*(C69-C64),3)</f>
        <v>0.161</v>
      </c>
      <c r="M69" s="190">
        <f t="shared" ref="M69" si="65">ROUND(+K69*L69,4)</f>
        <v>3.5999999999999997E-2</v>
      </c>
      <c r="N69" s="193">
        <f>ROUND(+M69/$M$153*100,2)</f>
        <v>16.579999999999998</v>
      </c>
      <c r="O69" s="194"/>
      <c r="P69" s="195"/>
      <c r="Q69" s="53"/>
      <c r="R69" s="53"/>
      <c r="S69" s="53"/>
      <c r="T69" s="53"/>
      <c r="U69" s="53"/>
      <c r="V69" s="53"/>
      <c r="W69" s="53"/>
      <c r="X69" s="53"/>
      <c r="Y69" s="53"/>
      <c r="Z69" s="53"/>
    </row>
    <row r="70" spans="1:26" s="61" customFormat="1" ht="13.5" customHeight="1" x14ac:dyDescent="0.25">
      <c r="A70" s="53"/>
      <c r="B70" s="211"/>
      <c r="C70" s="191"/>
      <c r="D70" s="191"/>
      <c r="E70" s="191"/>
      <c r="F70" s="69" t="s">
        <v>72</v>
      </c>
      <c r="G70" s="70">
        <f t="shared" ref="G70" si="66">IF(E69&lt;0.125,"NA",IF(0.125&lt;=E69,(0.2*E69)))</f>
        <v>9.7799999999999998E-2</v>
      </c>
      <c r="H70" s="71"/>
      <c r="I70" s="72"/>
      <c r="J70" s="73">
        <v>0.107</v>
      </c>
      <c r="K70" s="191"/>
      <c r="L70" s="191"/>
      <c r="M70" s="191"/>
      <c r="N70" s="191"/>
      <c r="O70" s="191"/>
      <c r="P70" s="196"/>
      <c r="Q70" s="53"/>
      <c r="R70" s="53"/>
      <c r="S70" s="53"/>
      <c r="T70" s="53"/>
      <c r="U70" s="53"/>
      <c r="V70" s="53"/>
      <c r="W70" s="53"/>
      <c r="X70" s="53"/>
      <c r="Y70" s="53"/>
      <c r="Z70" s="53"/>
    </row>
    <row r="71" spans="1:26" s="61" customFormat="1" ht="13.5" customHeight="1" x14ac:dyDescent="0.25">
      <c r="A71" s="53"/>
      <c r="B71" s="211"/>
      <c r="C71" s="191"/>
      <c r="D71" s="191"/>
      <c r="E71" s="191"/>
      <c r="F71" s="69" t="s">
        <v>73</v>
      </c>
      <c r="G71" s="70">
        <f t="shared" ref="G71" si="67">+E69*0.4</f>
        <v>0.1956</v>
      </c>
      <c r="H71" s="71"/>
      <c r="I71" s="72"/>
      <c r="J71" s="73">
        <v>9.8000000000000004E-2</v>
      </c>
      <c r="K71" s="191"/>
      <c r="L71" s="191"/>
      <c r="M71" s="191"/>
      <c r="N71" s="191"/>
      <c r="O71" s="191"/>
      <c r="P71" s="196"/>
      <c r="Q71" s="53"/>
      <c r="R71" s="53"/>
      <c r="S71" s="53"/>
      <c r="T71" s="53"/>
      <c r="U71" s="53"/>
      <c r="V71" s="53"/>
      <c r="W71" s="53"/>
      <c r="X71" s="53"/>
      <c r="Y71" s="53"/>
      <c r="Z71" s="53"/>
    </row>
    <row r="72" spans="1:26" s="61" customFormat="1" ht="13.5" customHeight="1" x14ac:dyDescent="0.25">
      <c r="A72" s="53"/>
      <c r="B72" s="211"/>
      <c r="C72" s="191"/>
      <c r="D72" s="191"/>
      <c r="E72" s="191"/>
      <c r="F72" s="69" t="s">
        <v>74</v>
      </c>
      <c r="G72" s="70">
        <f t="shared" ref="G72" si="68">IF(E69&lt;0.125,"NA",IF(0.125&lt;=E69,(0.8*E69)))</f>
        <v>0.39119999999999999</v>
      </c>
      <c r="H72" s="71"/>
      <c r="I72" s="72"/>
      <c r="J72" s="73">
        <v>0.154</v>
      </c>
      <c r="K72" s="191"/>
      <c r="L72" s="191"/>
      <c r="M72" s="191"/>
      <c r="N72" s="191"/>
      <c r="O72" s="191"/>
      <c r="P72" s="196"/>
      <c r="Q72" s="53"/>
      <c r="R72" s="53"/>
      <c r="S72" s="53"/>
      <c r="T72" s="53"/>
      <c r="U72" s="53"/>
      <c r="V72" s="53"/>
      <c r="W72" s="53"/>
      <c r="X72" s="53"/>
      <c r="Y72" s="53"/>
      <c r="Z72" s="53"/>
    </row>
    <row r="73" spans="1:26" s="61" customFormat="1" ht="13.5" customHeight="1" thickBot="1" x14ac:dyDescent="0.3">
      <c r="A73" s="53"/>
      <c r="B73" s="212"/>
      <c r="C73" s="192"/>
      <c r="D73" s="192"/>
      <c r="E73" s="192"/>
      <c r="F73" s="74" t="s">
        <v>75</v>
      </c>
      <c r="G73" s="75">
        <f t="shared" ref="G73" si="69">+E69</f>
        <v>0.48899999999999999</v>
      </c>
      <c r="H73" s="76"/>
      <c r="I73" s="77"/>
      <c r="J73" s="78">
        <v>1.177</v>
      </c>
      <c r="K73" s="192"/>
      <c r="L73" s="192"/>
      <c r="M73" s="192"/>
      <c r="N73" s="192"/>
      <c r="O73" s="192"/>
      <c r="P73" s="197"/>
      <c r="Q73" s="53"/>
      <c r="R73" s="53"/>
      <c r="S73" s="53"/>
      <c r="T73" s="53"/>
      <c r="U73" s="53"/>
      <c r="V73" s="53"/>
      <c r="W73" s="53"/>
      <c r="X73" s="53"/>
      <c r="Y73" s="53"/>
      <c r="Z73" s="53"/>
    </row>
    <row r="74" spans="1:26" s="61" customFormat="1" ht="13.5" customHeight="1" x14ac:dyDescent="0.25">
      <c r="A74" s="53"/>
      <c r="B74" s="210">
        <v>12</v>
      </c>
      <c r="C74" s="213">
        <f t="shared" ref="C74" si="70">+C69+$N$12</f>
        <v>4.7499999999999982</v>
      </c>
      <c r="D74" s="190">
        <v>0.56200000000000006</v>
      </c>
      <c r="E74" s="190">
        <v>0.60199999999999998</v>
      </c>
      <c r="F74" s="64" t="s">
        <v>71</v>
      </c>
      <c r="G74" s="65">
        <v>0</v>
      </c>
      <c r="H74" s="66"/>
      <c r="I74" s="67"/>
      <c r="J74" s="68"/>
      <c r="K74" s="190"/>
      <c r="L74" s="190"/>
      <c r="M74" s="190"/>
      <c r="N74" s="193"/>
      <c r="O74" s="194"/>
      <c r="P74" s="195"/>
      <c r="Q74" s="53"/>
      <c r="R74" s="53"/>
      <c r="S74" s="53"/>
      <c r="T74" s="53"/>
      <c r="U74" s="53"/>
      <c r="V74" s="53"/>
      <c r="W74" s="53"/>
      <c r="X74" s="53"/>
      <c r="Y74" s="53"/>
      <c r="Z74" s="53"/>
    </row>
    <row r="75" spans="1:26" s="61" customFormat="1" ht="13.5" customHeight="1" x14ac:dyDescent="0.25">
      <c r="A75" s="53"/>
      <c r="B75" s="211"/>
      <c r="C75" s="191"/>
      <c r="D75" s="191"/>
      <c r="E75" s="191"/>
      <c r="F75" s="69" t="s">
        <v>72</v>
      </c>
      <c r="G75" s="70">
        <f t="shared" ref="G75" si="71">IF(E74&lt;0.125,"NA",IF(0.125&lt;=E74,(0.2*E74)))</f>
        <v>0.12040000000000001</v>
      </c>
      <c r="H75" s="71"/>
      <c r="I75" s="72"/>
      <c r="J75" s="73"/>
      <c r="K75" s="191"/>
      <c r="L75" s="191"/>
      <c r="M75" s="191"/>
      <c r="N75" s="191"/>
      <c r="O75" s="191"/>
      <c r="P75" s="196"/>
      <c r="Q75" s="53"/>
      <c r="R75" s="53"/>
      <c r="S75" s="53"/>
      <c r="T75" s="53"/>
      <c r="U75" s="53"/>
      <c r="V75" s="53"/>
      <c r="W75" s="53"/>
      <c r="X75" s="53"/>
      <c r="Y75" s="53"/>
      <c r="Z75" s="53"/>
    </row>
    <row r="76" spans="1:26" s="61" customFormat="1" ht="13.5" customHeight="1" x14ac:dyDescent="0.25">
      <c r="A76" s="53"/>
      <c r="B76" s="211"/>
      <c r="C76" s="191"/>
      <c r="D76" s="191"/>
      <c r="E76" s="191"/>
      <c r="F76" s="69" t="s">
        <v>73</v>
      </c>
      <c r="G76" s="70">
        <f t="shared" ref="G76" si="72">+E74*0.4</f>
        <v>0.24080000000000001</v>
      </c>
      <c r="H76" s="71"/>
      <c r="I76" s="72"/>
      <c r="J76" s="73"/>
      <c r="K76" s="191"/>
      <c r="L76" s="191"/>
      <c r="M76" s="191"/>
      <c r="N76" s="191"/>
      <c r="O76" s="191"/>
      <c r="P76" s="196"/>
      <c r="Q76" s="53"/>
      <c r="R76" s="53"/>
      <c r="S76" s="53"/>
      <c r="T76" s="53"/>
      <c r="U76" s="53"/>
      <c r="V76" s="53"/>
      <c r="W76" s="53"/>
      <c r="X76" s="53"/>
      <c r="Y76" s="53"/>
      <c r="Z76" s="53"/>
    </row>
    <row r="77" spans="1:26" s="61" customFormat="1" ht="13.5" customHeight="1" x14ac:dyDescent="0.25">
      <c r="A77" s="53"/>
      <c r="B77" s="211"/>
      <c r="C77" s="191"/>
      <c r="D77" s="191"/>
      <c r="E77" s="191"/>
      <c r="F77" s="69" t="s">
        <v>74</v>
      </c>
      <c r="G77" s="70">
        <f t="shared" ref="G77" si="73">IF(E74&lt;0.125,"NA",IF(0.125&lt;=E74,(0.8*E74)))</f>
        <v>0.48160000000000003</v>
      </c>
      <c r="H77" s="71"/>
      <c r="I77" s="72"/>
      <c r="J77" s="73"/>
      <c r="K77" s="191"/>
      <c r="L77" s="191"/>
      <c r="M77" s="191"/>
      <c r="N77" s="191"/>
      <c r="O77" s="191"/>
      <c r="P77" s="196"/>
      <c r="Q77" s="53"/>
      <c r="R77" s="53"/>
      <c r="S77" s="53"/>
      <c r="T77" s="53"/>
      <c r="U77" s="53"/>
      <c r="V77" s="53"/>
      <c r="W77" s="53"/>
      <c r="X77" s="53"/>
      <c r="Y77" s="53"/>
      <c r="Z77" s="53"/>
    </row>
    <row r="78" spans="1:26" s="61" customFormat="1" ht="13.5" customHeight="1" thickBot="1" x14ac:dyDescent="0.3">
      <c r="A78" s="53"/>
      <c r="B78" s="212"/>
      <c r="C78" s="192"/>
      <c r="D78" s="192"/>
      <c r="E78" s="192"/>
      <c r="F78" s="74" t="s">
        <v>75</v>
      </c>
      <c r="G78" s="75">
        <f t="shared" ref="G78" si="74">+E74</f>
        <v>0.60199999999999998</v>
      </c>
      <c r="H78" s="76"/>
      <c r="I78" s="77"/>
      <c r="J78" s="78"/>
      <c r="K78" s="192"/>
      <c r="L78" s="192"/>
      <c r="M78" s="192"/>
      <c r="N78" s="192"/>
      <c r="O78" s="192"/>
      <c r="P78" s="197"/>
      <c r="Q78" s="53"/>
      <c r="R78" s="53"/>
      <c r="S78" s="53"/>
      <c r="T78" s="53"/>
      <c r="U78" s="53"/>
      <c r="V78" s="53"/>
      <c r="W78" s="53"/>
      <c r="X78" s="53"/>
      <c r="Y78" s="53"/>
      <c r="Z78" s="53"/>
    </row>
    <row r="79" spans="1:26" s="61" customFormat="1" ht="13.5" customHeight="1" x14ac:dyDescent="0.25">
      <c r="A79" s="53"/>
      <c r="B79" s="210">
        <v>13</v>
      </c>
      <c r="C79" s="213">
        <f t="shared" ref="C79" si="75">+C74+$N$12</f>
        <v>5.049999999999998</v>
      </c>
      <c r="D79" s="190">
        <v>0.29299999999999998</v>
      </c>
      <c r="E79" s="190">
        <v>0.39500000000000002</v>
      </c>
      <c r="F79" s="64" t="s">
        <v>71</v>
      </c>
      <c r="G79" s="65">
        <v>0</v>
      </c>
      <c r="H79" s="66"/>
      <c r="I79" s="67"/>
      <c r="J79" s="68">
        <v>4.2999999999999997E-2</v>
      </c>
      <c r="K79" s="190">
        <f t="shared" ref="K79" si="76">+IF(E79&lt;=0.12,(J81),(IF(E79&lt;0.16,((J80+2*J81+J82)/4),IF(E79&gt;=0.16,((J79+3*J80+2*J81+3*J82+J83)/10)))))</f>
        <v>0.12249999999999998</v>
      </c>
      <c r="L79" s="190">
        <f>ROUND(+(D74+D79)/2*(C79-C74),3)</f>
        <v>0.128</v>
      </c>
      <c r="M79" s="190">
        <f t="shared" ref="M79" si="77">ROUND(+K79*L79,4)</f>
        <v>1.5699999999999999E-2</v>
      </c>
      <c r="N79" s="193">
        <f>ROUND(+M79/$M$153*100,2)</f>
        <v>7.23</v>
      </c>
      <c r="O79" s="194"/>
      <c r="P79" s="195"/>
      <c r="Q79" s="53"/>
      <c r="R79" s="53"/>
      <c r="S79" s="53"/>
      <c r="T79" s="53"/>
      <c r="U79" s="53"/>
      <c r="V79" s="53"/>
      <c r="W79" s="53"/>
      <c r="X79" s="53"/>
      <c r="Y79" s="53"/>
      <c r="Z79" s="53"/>
    </row>
    <row r="80" spans="1:26" s="61" customFormat="1" ht="13.5" customHeight="1" x14ac:dyDescent="0.25">
      <c r="A80" s="53"/>
      <c r="B80" s="211"/>
      <c r="C80" s="191"/>
      <c r="D80" s="191"/>
      <c r="E80" s="191"/>
      <c r="F80" s="69" t="s">
        <v>72</v>
      </c>
      <c r="G80" s="70">
        <f t="shared" ref="G80" si="78">IF(E79&lt;0.125,"NA",IF(0.125&lt;=E79,(0.2*E79)))</f>
        <v>7.9000000000000015E-2</v>
      </c>
      <c r="H80" s="71"/>
      <c r="I80" s="72"/>
      <c r="J80" s="73">
        <v>0.109</v>
      </c>
      <c r="K80" s="191"/>
      <c r="L80" s="191"/>
      <c r="M80" s="191"/>
      <c r="N80" s="191"/>
      <c r="O80" s="191"/>
      <c r="P80" s="196"/>
      <c r="Q80" s="53"/>
      <c r="R80" s="53"/>
      <c r="S80" s="53"/>
      <c r="T80" s="53"/>
      <c r="U80" s="53"/>
      <c r="V80" s="53"/>
      <c r="W80" s="53"/>
      <c r="X80" s="53"/>
      <c r="Y80" s="53"/>
      <c r="Z80" s="53"/>
    </row>
    <row r="81" spans="1:26" s="61" customFormat="1" ht="13.5" customHeight="1" x14ac:dyDescent="0.25">
      <c r="A81" s="53"/>
      <c r="B81" s="211"/>
      <c r="C81" s="191"/>
      <c r="D81" s="191"/>
      <c r="E81" s="191"/>
      <c r="F81" s="69" t="s">
        <v>73</v>
      </c>
      <c r="G81" s="70">
        <f t="shared" ref="G81" si="79">+E79*0.4</f>
        <v>0.15800000000000003</v>
      </c>
      <c r="H81" s="71"/>
      <c r="I81" s="72"/>
      <c r="J81" s="73">
        <v>0.125</v>
      </c>
      <c r="K81" s="191"/>
      <c r="L81" s="191"/>
      <c r="M81" s="191"/>
      <c r="N81" s="191"/>
      <c r="O81" s="191"/>
      <c r="P81" s="196"/>
      <c r="Q81" s="53"/>
      <c r="R81" s="53"/>
      <c r="S81" s="53"/>
      <c r="T81" s="53"/>
      <c r="U81" s="53"/>
      <c r="V81" s="53"/>
      <c r="W81" s="53"/>
      <c r="X81" s="53"/>
      <c r="Y81" s="53"/>
      <c r="Z81" s="53"/>
    </row>
    <row r="82" spans="1:26" s="61" customFormat="1" ht="13.5" customHeight="1" x14ac:dyDescent="0.25">
      <c r="A82" s="53"/>
      <c r="B82" s="211"/>
      <c r="C82" s="191"/>
      <c r="D82" s="191"/>
      <c r="E82" s="191"/>
      <c r="F82" s="69" t="s">
        <v>74</v>
      </c>
      <c r="G82" s="70">
        <f t="shared" ref="G82" si="80">IF(E79&lt;0.125,"NA",IF(0.125&lt;=E79,(0.8*E79)))</f>
        <v>0.31600000000000006</v>
      </c>
      <c r="H82" s="71"/>
      <c r="I82" s="72"/>
      <c r="J82" s="73">
        <v>0.14299999999999999</v>
      </c>
      <c r="K82" s="191"/>
      <c r="L82" s="191"/>
      <c r="M82" s="191"/>
      <c r="N82" s="191"/>
      <c r="O82" s="191"/>
      <c r="P82" s="196"/>
      <c r="Q82" s="53"/>
      <c r="R82" s="53"/>
      <c r="S82" s="53"/>
      <c r="T82" s="53"/>
      <c r="U82" s="53"/>
      <c r="V82" s="53"/>
      <c r="W82" s="53"/>
      <c r="X82" s="53"/>
      <c r="Y82" s="53"/>
      <c r="Z82" s="53"/>
    </row>
    <row r="83" spans="1:26" s="61" customFormat="1" ht="13.5" customHeight="1" thickBot="1" x14ac:dyDescent="0.3">
      <c r="A83" s="53"/>
      <c r="B83" s="212"/>
      <c r="C83" s="192"/>
      <c r="D83" s="192"/>
      <c r="E83" s="192"/>
      <c r="F83" s="74" t="s">
        <v>75</v>
      </c>
      <c r="G83" s="75">
        <f t="shared" ref="G83" si="81">+E79</f>
        <v>0.39500000000000002</v>
      </c>
      <c r="H83" s="76"/>
      <c r="I83" s="77"/>
      <c r="J83" s="78">
        <v>0.17599999999999999</v>
      </c>
      <c r="K83" s="192"/>
      <c r="L83" s="192"/>
      <c r="M83" s="192"/>
      <c r="N83" s="192"/>
      <c r="O83" s="192"/>
      <c r="P83" s="197"/>
      <c r="Q83" s="53"/>
      <c r="R83" s="53"/>
      <c r="S83" s="53"/>
      <c r="T83" s="53"/>
      <c r="U83" s="53"/>
      <c r="V83" s="53"/>
      <c r="W83" s="53"/>
      <c r="X83" s="53"/>
      <c r="Y83" s="53"/>
      <c r="Z83" s="53"/>
    </row>
    <row r="84" spans="1:26" s="61" customFormat="1" ht="13.5" customHeight="1" x14ac:dyDescent="0.25">
      <c r="A84" s="53"/>
      <c r="B84" s="210">
        <v>14</v>
      </c>
      <c r="C84" s="213">
        <f t="shared" ref="C84" si="82">+C79+$N$12</f>
        <v>5.3499999999999979</v>
      </c>
      <c r="D84" s="190">
        <v>0.317</v>
      </c>
      <c r="E84" s="190">
        <v>0.41499999999999998</v>
      </c>
      <c r="F84" s="64" t="s">
        <v>71</v>
      </c>
      <c r="G84" s="65">
        <v>0</v>
      </c>
      <c r="H84" s="66"/>
      <c r="I84" s="67"/>
      <c r="J84" s="68">
        <v>4.2999999999999997E-2</v>
      </c>
      <c r="K84" s="190">
        <f t="shared" ref="K84" si="83">+IF(E84&lt;=0.12,(J86),(IF(E84&lt;0.16,((J85+2*J86+J87)/4),IF(E84&gt;=0.16,((J84+3*J85+2*J86+3*J87+J88)/10)))))</f>
        <v>0.1258</v>
      </c>
      <c r="L84" s="190">
        <f t="shared" ref="L84" si="84">ROUND(+(D79+D84)/2*(C84-C79),3)</f>
        <v>9.0999999999999998E-2</v>
      </c>
      <c r="M84" s="190">
        <f t="shared" ref="M84" si="85">ROUND(+K84*L84,4)</f>
        <v>1.14E-2</v>
      </c>
      <c r="N84" s="193">
        <f>ROUND(+M84/$M$153*100,2)</f>
        <v>5.25</v>
      </c>
      <c r="O84" s="194"/>
      <c r="P84" s="195"/>
      <c r="Q84" s="53"/>
      <c r="R84" s="53"/>
      <c r="S84" s="53"/>
      <c r="T84" s="53"/>
      <c r="U84" s="53"/>
      <c r="V84" s="53"/>
      <c r="W84" s="53"/>
      <c r="X84" s="53"/>
      <c r="Y84" s="53"/>
      <c r="Z84" s="53"/>
    </row>
    <row r="85" spans="1:26" s="61" customFormat="1" ht="13.5" customHeight="1" x14ac:dyDescent="0.25">
      <c r="A85" s="53"/>
      <c r="B85" s="211"/>
      <c r="C85" s="191"/>
      <c r="D85" s="191"/>
      <c r="E85" s="191"/>
      <c r="F85" s="69" t="s">
        <v>72</v>
      </c>
      <c r="G85" s="70">
        <f t="shared" ref="G85" si="86">IF(E84&lt;0.125,"NA",IF(0.125&lt;=E84,(0.2*E84)))</f>
        <v>8.3000000000000004E-2</v>
      </c>
      <c r="H85" s="71"/>
      <c r="I85" s="72"/>
      <c r="J85" s="73">
        <v>0.13300000000000001</v>
      </c>
      <c r="K85" s="191"/>
      <c r="L85" s="191"/>
      <c r="M85" s="191"/>
      <c r="N85" s="191"/>
      <c r="O85" s="191"/>
      <c r="P85" s="196"/>
      <c r="Q85" s="53"/>
      <c r="R85" s="53"/>
      <c r="S85" s="53"/>
      <c r="T85" s="53"/>
      <c r="U85" s="53"/>
      <c r="V85" s="53"/>
      <c r="W85" s="53"/>
      <c r="X85" s="53"/>
      <c r="Y85" s="53"/>
      <c r="Z85" s="53"/>
    </row>
    <row r="86" spans="1:26" s="61" customFormat="1" ht="13.5" customHeight="1" x14ac:dyDescent="0.25">
      <c r="A86" s="53"/>
      <c r="B86" s="211"/>
      <c r="C86" s="191"/>
      <c r="D86" s="191"/>
      <c r="E86" s="191"/>
      <c r="F86" s="69" t="s">
        <v>73</v>
      </c>
      <c r="G86" s="70">
        <f t="shared" ref="G86" si="87">+E84*0.4</f>
        <v>0.16600000000000001</v>
      </c>
      <c r="H86" s="71"/>
      <c r="I86" s="72"/>
      <c r="J86" s="73">
        <v>0.11700000000000001</v>
      </c>
      <c r="K86" s="191"/>
      <c r="L86" s="191"/>
      <c r="M86" s="191"/>
      <c r="N86" s="191"/>
      <c r="O86" s="191"/>
      <c r="P86" s="196"/>
      <c r="Q86" s="53"/>
      <c r="R86" s="53"/>
      <c r="S86" s="53"/>
      <c r="T86" s="53"/>
      <c r="U86" s="53"/>
      <c r="V86" s="53"/>
      <c r="W86" s="53"/>
      <c r="X86" s="53"/>
      <c r="Y86" s="53"/>
      <c r="Z86" s="53"/>
    </row>
    <row r="87" spans="1:26" s="61" customFormat="1" ht="13.5" customHeight="1" x14ac:dyDescent="0.25">
      <c r="A87" s="53"/>
      <c r="B87" s="211"/>
      <c r="C87" s="191"/>
      <c r="D87" s="191"/>
      <c r="E87" s="191"/>
      <c r="F87" s="69" t="s">
        <v>74</v>
      </c>
      <c r="G87" s="70">
        <f t="shared" ref="G87" si="88">IF(E84&lt;0.125,"NA",IF(0.125&lt;=E84,(0.8*E84)))</f>
        <v>0.33200000000000002</v>
      </c>
      <c r="H87" s="71"/>
      <c r="I87" s="72"/>
      <c r="J87" s="73">
        <v>0.13900000000000001</v>
      </c>
      <c r="K87" s="191"/>
      <c r="L87" s="191"/>
      <c r="M87" s="191"/>
      <c r="N87" s="191"/>
      <c r="O87" s="191"/>
      <c r="P87" s="196"/>
      <c r="Q87" s="53"/>
      <c r="R87" s="53"/>
      <c r="S87" s="53"/>
      <c r="T87" s="53"/>
      <c r="U87" s="53"/>
      <c r="V87" s="53"/>
      <c r="W87" s="53"/>
      <c r="X87" s="53"/>
      <c r="Y87" s="53"/>
      <c r="Z87" s="53"/>
    </row>
    <row r="88" spans="1:26" s="61" customFormat="1" ht="13.5" customHeight="1" thickBot="1" x14ac:dyDescent="0.3">
      <c r="A88" s="53"/>
      <c r="B88" s="212"/>
      <c r="C88" s="192"/>
      <c r="D88" s="192"/>
      <c r="E88" s="192"/>
      <c r="F88" s="74" t="s">
        <v>75</v>
      </c>
      <c r="G88" s="75">
        <f t="shared" ref="G88" si="89">+E84</f>
        <v>0.41499999999999998</v>
      </c>
      <c r="H88" s="76"/>
      <c r="I88" s="77"/>
      <c r="J88" s="78">
        <v>0.16500000000000001</v>
      </c>
      <c r="K88" s="192"/>
      <c r="L88" s="192"/>
      <c r="M88" s="192"/>
      <c r="N88" s="192"/>
      <c r="O88" s="192"/>
      <c r="P88" s="197"/>
      <c r="Q88" s="53"/>
      <c r="R88" s="53"/>
      <c r="S88" s="53"/>
      <c r="T88" s="53"/>
      <c r="U88" s="53"/>
      <c r="V88" s="53"/>
      <c r="W88" s="53"/>
      <c r="X88" s="53"/>
      <c r="Y88" s="53"/>
      <c r="Z88" s="53"/>
    </row>
    <row r="89" spans="1:26" s="61" customFormat="1" ht="13.5" customHeight="1" x14ac:dyDescent="0.25">
      <c r="A89" s="53"/>
      <c r="B89" s="210">
        <v>15</v>
      </c>
      <c r="C89" s="213">
        <f t="shared" ref="C89" si="90">+C84+$N$12</f>
        <v>5.6499999999999977</v>
      </c>
      <c r="D89" s="190">
        <v>0.34499999999999997</v>
      </c>
      <c r="E89" s="190">
        <v>0.55100000000000005</v>
      </c>
      <c r="F89" s="64" t="s">
        <v>71</v>
      </c>
      <c r="G89" s="65">
        <v>0</v>
      </c>
      <c r="H89" s="66"/>
      <c r="I89" s="67"/>
      <c r="J89" s="68">
        <v>2.1000000000000001E-2</v>
      </c>
      <c r="K89" s="190">
        <f t="shared" ref="K89" si="91">+IF(E89&lt;=0.12,(J91),(IF(E89&lt;0.16,((J90+2*J91+J92)/4),IF(E89&gt;=0.16,((J89+3*J90+2*J91+3*J92+J93)/10)))))</f>
        <v>0.10070000000000001</v>
      </c>
      <c r="L89" s="190">
        <f t="shared" ref="L89" si="92">ROUND(+(D84+D89)/2*(C89-C84),3)</f>
        <v>9.9000000000000005E-2</v>
      </c>
      <c r="M89" s="190">
        <f t="shared" ref="M89" si="93">ROUND(+K89*L89,4)</f>
        <v>0.01</v>
      </c>
      <c r="N89" s="193">
        <f>ROUND(+M89/$M$153*100,2)</f>
        <v>4.6100000000000003</v>
      </c>
      <c r="O89" s="194"/>
      <c r="P89" s="195"/>
      <c r="Q89" s="53"/>
      <c r="R89" s="53"/>
      <c r="S89" s="53"/>
      <c r="T89" s="53"/>
      <c r="U89" s="53"/>
      <c r="V89" s="53"/>
      <c r="W89" s="53"/>
      <c r="X89" s="53"/>
      <c r="Y89" s="53"/>
      <c r="Z89" s="53"/>
    </row>
    <row r="90" spans="1:26" s="61" customFormat="1" ht="13.5" customHeight="1" x14ac:dyDescent="0.25">
      <c r="A90" s="53"/>
      <c r="B90" s="211"/>
      <c r="C90" s="191"/>
      <c r="D90" s="191"/>
      <c r="E90" s="191"/>
      <c r="F90" s="69" t="s">
        <v>72</v>
      </c>
      <c r="G90" s="70">
        <f t="shared" ref="G90" si="94">IF(E89&lt;0.125,"NA",IF(0.125&lt;=E89,(0.2*E89)))</f>
        <v>0.11020000000000002</v>
      </c>
      <c r="H90" s="71"/>
      <c r="I90" s="72"/>
      <c r="J90" s="73">
        <v>0.08</v>
      </c>
      <c r="K90" s="191"/>
      <c r="L90" s="191"/>
      <c r="M90" s="191"/>
      <c r="N90" s="191"/>
      <c r="O90" s="191"/>
      <c r="P90" s="196"/>
      <c r="Q90" s="53"/>
      <c r="R90" s="53"/>
      <c r="S90" s="53"/>
      <c r="T90" s="53"/>
      <c r="U90" s="53"/>
      <c r="V90" s="53"/>
      <c r="W90" s="53"/>
      <c r="X90" s="53"/>
      <c r="Y90" s="53"/>
      <c r="Z90" s="53"/>
    </row>
    <row r="91" spans="1:26" s="61" customFormat="1" ht="13.5" customHeight="1" x14ac:dyDescent="0.25">
      <c r="A91" s="53"/>
      <c r="B91" s="211"/>
      <c r="C91" s="191"/>
      <c r="D91" s="191"/>
      <c r="E91" s="191"/>
      <c r="F91" s="69" t="s">
        <v>73</v>
      </c>
      <c r="G91" s="70">
        <f t="shared" ref="G91" si="95">+E89*0.4</f>
        <v>0.22040000000000004</v>
      </c>
      <c r="H91" s="71"/>
      <c r="I91" s="72"/>
      <c r="J91" s="73">
        <v>0.111</v>
      </c>
      <c r="K91" s="191"/>
      <c r="L91" s="191"/>
      <c r="M91" s="191"/>
      <c r="N91" s="191"/>
      <c r="O91" s="191"/>
      <c r="P91" s="196"/>
      <c r="Q91" s="53"/>
      <c r="R91" s="53"/>
      <c r="S91" s="53"/>
      <c r="T91" s="53"/>
      <c r="U91" s="53"/>
      <c r="V91" s="53"/>
      <c r="W91" s="53"/>
      <c r="X91" s="53"/>
      <c r="Y91" s="53"/>
      <c r="Z91" s="53"/>
    </row>
    <row r="92" spans="1:26" s="61" customFormat="1" ht="13.5" customHeight="1" x14ac:dyDescent="0.25">
      <c r="A92" s="53"/>
      <c r="B92" s="211"/>
      <c r="C92" s="191"/>
      <c r="D92" s="191"/>
      <c r="E92" s="191"/>
      <c r="F92" s="69" t="s">
        <v>74</v>
      </c>
      <c r="G92" s="70">
        <f t="shared" ref="G92" si="96">IF(E89&lt;0.125,"NA",IF(0.125&lt;=E89,(0.8*E89)))</f>
        <v>0.44080000000000008</v>
      </c>
      <c r="H92" s="71"/>
      <c r="I92" s="72"/>
      <c r="J92" s="73">
        <v>0.13200000000000001</v>
      </c>
      <c r="K92" s="191"/>
      <c r="L92" s="191"/>
      <c r="M92" s="191"/>
      <c r="N92" s="191"/>
      <c r="O92" s="191"/>
      <c r="P92" s="196"/>
      <c r="Q92" s="53"/>
      <c r="R92" s="53"/>
      <c r="S92" s="53"/>
      <c r="T92" s="53"/>
      <c r="U92" s="53"/>
      <c r="V92" s="53"/>
      <c r="W92" s="53"/>
      <c r="X92" s="53"/>
      <c r="Y92" s="53"/>
      <c r="Z92" s="53"/>
    </row>
    <row r="93" spans="1:26" s="61" customFormat="1" ht="13.5" customHeight="1" thickBot="1" x14ac:dyDescent="0.3">
      <c r="A93" s="53"/>
      <c r="B93" s="212"/>
      <c r="C93" s="192"/>
      <c r="D93" s="192"/>
      <c r="E93" s="192"/>
      <c r="F93" s="74" t="s">
        <v>75</v>
      </c>
      <c r="G93" s="75">
        <f t="shared" ref="G93" si="97">+E89</f>
        <v>0.55100000000000005</v>
      </c>
      <c r="H93" s="76"/>
      <c r="I93" s="77"/>
      <c r="J93" s="78">
        <v>0.128</v>
      </c>
      <c r="K93" s="192"/>
      <c r="L93" s="192"/>
      <c r="M93" s="192"/>
      <c r="N93" s="192"/>
      <c r="O93" s="192"/>
      <c r="P93" s="197"/>
      <c r="Q93" s="53"/>
      <c r="R93" s="53"/>
      <c r="S93" s="53"/>
      <c r="T93" s="53"/>
      <c r="U93" s="53"/>
      <c r="V93" s="53"/>
      <c r="W93" s="53"/>
      <c r="X93" s="53"/>
      <c r="Y93" s="53"/>
      <c r="Z93" s="53"/>
    </row>
    <row r="94" spans="1:26" s="61" customFormat="1" ht="13.5" customHeight="1" x14ac:dyDescent="0.25">
      <c r="A94" s="53"/>
      <c r="B94" s="210">
        <v>16</v>
      </c>
      <c r="C94" s="213">
        <f t="shared" ref="C94" si="98">+C89+$N$12</f>
        <v>5.9499999999999975</v>
      </c>
      <c r="D94" s="190">
        <v>0.45</v>
      </c>
      <c r="E94" s="190">
        <v>0.35499999999999998</v>
      </c>
      <c r="F94" s="64" t="s">
        <v>71</v>
      </c>
      <c r="G94" s="65">
        <v>0</v>
      </c>
      <c r="H94" s="66"/>
      <c r="I94" s="67"/>
      <c r="J94" s="68">
        <v>0.127</v>
      </c>
      <c r="K94" s="190">
        <f t="shared" ref="K94" si="99">+IF(E94&lt;=0.12,(J96),(IF(E94&lt;0.16,((J95+2*J96+J97)/4),IF(E94&gt;=0.16,((J94+3*J95+2*J96+3*J97+J98)/10)))))</f>
        <v>0.15970000000000001</v>
      </c>
      <c r="L94" s="190">
        <f t="shared" ref="L94" si="100">ROUND(+(D89+D94)/2*(C94-C89),3)</f>
        <v>0.11899999999999999</v>
      </c>
      <c r="M94" s="190">
        <f t="shared" ref="M94" si="101">ROUND(+K94*L94,4)</f>
        <v>1.9E-2</v>
      </c>
      <c r="N94" s="193">
        <f>ROUND(+M94/$M$153*100,2)</f>
        <v>8.75</v>
      </c>
      <c r="O94" s="194"/>
      <c r="P94" s="195"/>
      <c r="Q94" s="53"/>
      <c r="R94" s="53"/>
      <c r="S94" s="53"/>
      <c r="T94" s="53"/>
      <c r="U94" s="53"/>
      <c r="V94" s="53"/>
      <c r="W94" s="53"/>
      <c r="X94" s="53"/>
      <c r="Y94" s="53"/>
      <c r="Z94" s="53"/>
    </row>
    <row r="95" spans="1:26" s="61" customFormat="1" ht="13.5" customHeight="1" x14ac:dyDescent="0.25">
      <c r="A95" s="53"/>
      <c r="B95" s="211"/>
      <c r="C95" s="191"/>
      <c r="D95" s="191"/>
      <c r="E95" s="191"/>
      <c r="F95" s="69" t="s">
        <v>72</v>
      </c>
      <c r="G95" s="70">
        <f t="shared" ref="G95" si="102">IF(E94&lt;0.125,"NA",IF(0.125&lt;=E94,(0.2*E94)))</f>
        <v>7.0999999999999994E-2</v>
      </c>
      <c r="H95" s="71"/>
      <c r="I95" s="72"/>
      <c r="J95" s="73">
        <v>0.14099999999999999</v>
      </c>
      <c r="K95" s="191"/>
      <c r="L95" s="191"/>
      <c r="M95" s="191"/>
      <c r="N95" s="191"/>
      <c r="O95" s="191"/>
      <c r="P95" s="196"/>
      <c r="Q95" s="53"/>
      <c r="R95" s="53"/>
      <c r="S95" s="53"/>
      <c r="T95" s="53"/>
      <c r="U95" s="53"/>
      <c r="V95" s="53"/>
      <c r="W95" s="53"/>
      <c r="X95" s="53"/>
      <c r="Y95" s="53"/>
      <c r="Z95" s="53"/>
    </row>
    <row r="96" spans="1:26" s="61" customFormat="1" ht="13.5" customHeight="1" x14ac:dyDescent="0.25">
      <c r="A96" s="53"/>
      <c r="B96" s="211"/>
      <c r="C96" s="191"/>
      <c r="D96" s="191"/>
      <c r="E96" s="191"/>
      <c r="F96" s="69" t="s">
        <v>73</v>
      </c>
      <c r="G96" s="70">
        <f t="shared" ref="G96" si="103">+E94*0.4</f>
        <v>0.14199999999999999</v>
      </c>
      <c r="H96" s="71"/>
      <c r="I96" s="72"/>
      <c r="J96" s="73">
        <v>0.155</v>
      </c>
      <c r="K96" s="191"/>
      <c r="L96" s="191"/>
      <c r="M96" s="191"/>
      <c r="N96" s="191"/>
      <c r="O96" s="191"/>
      <c r="P96" s="196"/>
      <c r="Q96" s="53"/>
      <c r="R96" s="53"/>
      <c r="S96" s="53"/>
      <c r="T96" s="53"/>
      <c r="U96" s="53"/>
      <c r="V96" s="53"/>
      <c r="W96" s="53"/>
      <c r="X96" s="53"/>
      <c r="Y96" s="53"/>
      <c r="Z96" s="53"/>
    </row>
    <row r="97" spans="1:26" s="61" customFormat="1" ht="13.5" customHeight="1" x14ac:dyDescent="0.25">
      <c r="A97" s="53"/>
      <c r="B97" s="211"/>
      <c r="C97" s="191"/>
      <c r="D97" s="191"/>
      <c r="E97" s="191"/>
      <c r="F97" s="69" t="s">
        <v>74</v>
      </c>
      <c r="G97" s="70">
        <f t="shared" ref="G97" si="104">IF(E94&lt;0.125,"NA",IF(0.125&lt;=E94,(0.8*E94)))</f>
        <v>0.28399999999999997</v>
      </c>
      <c r="H97" s="71"/>
      <c r="I97" s="72"/>
      <c r="J97" s="73">
        <v>0.188</v>
      </c>
      <c r="K97" s="191"/>
      <c r="L97" s="191"/>
      <c r="M97" s="191"/>
      <c r="N97" s="191"/>
      <c r="O97" s="191"/>
      <c r="P97" s="196"/>
      <c r="Q97" s="53"/>
      <c r="R97" s="53"/>
      <c r="S97" s="53"/>
      <c r="T97" s="53"/>
      <c r="U97" s="53"/>
      <c r="V97" s="53"/>
      <c r="W97" s="53"/>
      <c r="X97" s="53"/>
      <c r="Y97" s="53"/>
      <c r="Z97" s="53"/>
    </row>
    <row r="98" spans="1:26" s="61" customFormat="1" ht="13.5" customHeight="1" thickBot="1" x14ac:dyDescent="0.3">
      <c r="A98" s="53"/>
      <c r="B98" s="212"/>
      <c r="C98" s="192"/>
      <c r="D98" s="192"/>
      <c r="E98" s="192"/>
      <c r="F98" s="74" t="s">
        <v>75</v>
      </c>
      <c r="G98" s="75">
        <f t="shared" ref="G98" si="105">+E94</f>
        <v>0.35499999999999998</v>
      </c>
      <c r="H98" s="76"/>
      <c r="I98" s="77"/>
      <c r="J98" s="78">
        <v>0.17299999999999999</v>
      </c>
      <c r="K98" s="192"/>
      <c r="L98" s="192"/>
      <c r="M98" s="192"/>
      <c r="N98" s="192"/>
      <c r="O98" s="192"/>
      <c r="P98" s="197"/>
      <c r="Q98" s="53"/>
      <c r="R98" s="53"/>
      <c r="S98" s="53"/>
      <c r="T98" s="53"/>
      <c r="U98" s="53"/>
      <c r="V98" s="53"/>
      <c r="W98" s="53"/>
      <c r="X98" s="53"/>
      <c r="Y98" s="53"/>
      <c r="Z98" s="53"/>
    </row>
    <row r="99" spans="1:26" s="61" customFormat="1" ht="13.5" customHeight="1" x14ac:dyDescent="0.25">
      <c r="A99" s="53"/>
      <c r="B99" s="210">
        <v>17</v>
      </c>
      <c r="C99" s="213">
        <f t="shared" ref="C99" si="106">+C94+$N$12</f>
        <v>6.2499999999999973</v>
      </c>
      <c r="D99" s="190">
        <v>0.35699999999999998</v>
      </c>
      <c r="E99" s="190">
        <v>0.34200000000000003</v>
      </c>
      <c r="F99" s="64" t="s">
        <v>71</v>
      </c>
      <c r="G99" s="65">
        <v>0</v>
      </c>
      <c r="H99" s="66"/>
      <c r="I99" s="67"/>
      <c r="J99" s="68">
        <v>7.1999999999999995E-2</v>
      </c>
      <c r="K99" s="190">
        <f t="shared" ref="K99" si="107">+IF(E99&lt;=0.12,(J101),(IF(E99&lt;0.16,((J100+2*J101+J102)/4),IF(E99&gt;=0.16,((J99+3*J100+2*J101+3*J102+J103)/10)))))</f>
        <v>0.13569999999999999</v>
      </c>
      <c r="L99" s="190">
        <f t="shared" ref="L99" si="108">ROUND(+(D94+D99)/2*(C99-C94),3)</f>
        <v>0.121</v>
      </c>
      <c r="M99" s="190">
        <f t="shared" ref="M99" si="109">ROUND(+K99*L99,4)</f>
        <v>1.6400000000000001E-2</v>
      </c>
      <c r="N99" s="193">
        <f t="shared" ref="N99" si="110">ROUND(+M99/$M$153*100,2)</f>
        <v>7.55</v>
      </c>
      <c r="O99" s="194"/>
      <c r="P99" s="195"/>
      <c r="Q99" s="53"/>
      <c r="R99" s="53"/>
      <c r="S99" s="53"/>
      <c r="T99" s="53"/>
      <c r="U99" s="53"/>
      <c r="V99" s="53"/>
      <c r="W99" s="53"/>
      <c r="X99" s="53"/>
      <c r="Y99" s="53"/>
      <c r="Z99" s="53"/>
    </row>
    <row r="100" spans="1:26" s="61" customFormat="1" ht="13.5" customHeight="1" x14ac:dyDescent="0.25">
      <c r="A100" s="53"/>
      <c r="B100" s="211"/>
      <c r="C100" s="191"/>
      <c r="D100" s="191"/>
      <c r="E100" s="191"/>
      <c r="F100" s="69" t="s">
        <v>72</v>
      </c>
      <c r="G100" s="70">
        <f t="shared" ref="G100" si="111">IF(E99&lt;0.125,"NA",IF(0.125&lt;=E99,(0.2*E99)))</f>
        <v>6.8400000000000002E-2</v>
      </c>
      <c r="H100" s="71"/>
      <c r="I100" s="72"/>
      <c r="J100" s="73">
        <v>0.104</v>
      </c>
      <c r="K100" s="191"/>
      <c r="L100" s="191"/>
      <c r="M100" s="191"/>
      <c r="N100" s="191"/>
      <c r="O100" s="191"/>
      <c r="P100" s="196"/>
      <c r="Q100" s="53"/>
      <c r="R100" s="53"/>
      <c r="S100" s="53"/>
      <c r="T100" s="53"/>
      <c r="U100" s="53"/>
      <c r="V100" s="53"/>
      <c r="W100" s="53"/>
      <c r="X100" s="53"/>
      <c r="Y100" s="53"/>
      <c r="Z100" s="53"/>
    </row>
    <row r="101" spans="1:26" s="61" customFormat="1" ht="13.5" customHeight="1" x14ac:dyDescent="0.25">
      <c r="A101" s="53"/>
      <c r="B101" s="211"/>
      <c r="C101" s="191"/>
      <c r="D101" s="191"/>
      <c r="E101" s="191"/>
      <c r="F101" s="69" t="s">
        <v>73</v>
      </c>
      <c r="G101" s="70">
        <f t="shared" ref="G101" si="112">+E99*0.4</f>
        <v>0.1368</v>
      </c>
      <c r="H101" s="71"/>
      <c r="I101" s="72"/>
      <c r="J101" s="73">
        <v>0.14399999999999999</v>
      </c>
      <c r="K101" s="191"/>
      <c r="L101" s="191"/>
      <c r="M101" s="191"/>
      <c r="N101" s="191"/>
      <c r="O101" s="191"/>
      <c r="P101" s="196"/>
      <c r="Q101" s="53"/>
      <c r="R101" s="53"/>
      <c r="S101" s="53"/>
      <c r="T101" s="53"/>
      <c r="U101" s="53"/>
      <c r="V101" s="53"/>
      <c r="W101" s="53"/>
      <c r="X101" s="53"/>
      <c r="Y101" s="53"/>
      <c r="Z101" s="53"/>
    </row>
    <row r="102" spans="1:26" s="61" customFormat="1" ht="13.5" customHeight="1" x14ac:dyDescent="0.25">
      <c r="A102" s="53"/>
      <c r="B102" s="211"/>
      <c r="C102" s="191"/>
      <c r="D102" s="191"/>
      <c r="E102" s="191"/>
      <c r="F102" s="69" t="s">
        <v>74</v>
      </c>
      <c r="G102" s="70">
        <f t="shared" ref="G102" si="113">IF(E99&lt;0.125,"NA",IF(0.125&lt;=E99,(0.8*E99)))</f>
        <v>0.27360000000000001</v>
      </c>
      <c r="H102" s="71"/>
      <c r="I102" s="72"/>
      <c r="J102" s="73">
        <v>0.17199999999999999</v>
      </c>
      <c r="K102" s="191"/>
      <c r="L102" s="191"/>
      <c r="M102" s="191"/>
      <c r="N102" s="191"/>
      <c r="O102" s="191"/>
      <c r="P102" s="196"/>
      <c r="Q102" s="53"/>
      <c r="R102" s="53"/>
      <c r="S102" s="53"/>
      <c r="T102" s="53"/>
      <c r="U102" s="53"/>
      <c r="V102" s="53"/>
      <c r="W102" s="53"/>
      <c r="X102" s="53"/>
      <c r="Y102" s="53"/>
      <c r="Z102" s="53"/>
    </row>
    <row r="103" spans="1:26" s="61" customFormat="1" ht="13.5" customHeight="1" thickBot="1" x14ac:dyDescent="0.3">
      <c r="A103" s="53"/>
      <c r="B103" s="212"/>
      <c r="C103" s="192"/>
      <c r="D103" s="192"/>
      <c r="E103" s="192"/>
      <c r="F103" s="74" t="s">
        <v>75</v>
      </c>
      <c r="G103" s="75">
        <f t="shared" ref="G103" si="114">+E99</f>
        <v>0.34200000000000003</v>
      </c>
      <c r="H103" s="76"/>
      <c r="I103" s="77"/>
      <c r="J103" s="78">
        <v>0.16900000000000001</v>
      </c>
      <c r="K103" s="192"/>
      <c r="L103" s="192"/>
      <c r="M103" s="192"/>
      <c r="N103" s="192"/>
      <c r="O103" s="192"/>
      <c r="P103" s="197"/>
      <c r="Q103" s="53"/>
      <c r="R103" s="53"/>
      <c r="S103" s="53"/>
      <c r="T103" s="53"/>
      <c r="U103" s="53"/>
      <c r="V103" s="53"/>
      <c r="W103" s="53"/>
      <c r="X103" s="53"/>
      <c r="Y103" s="53"/>
      <c r="Z103" s="53"/>
    </row>
    <row r="104" spans="1:26" s="61" customFormat="1" ht="13.5" customHeight="1" x14ac:dyDescent="0.25">
      <c r="A104" s="53"/>
      <c r="B104" s="210">
        <v>18</v>
      </c>
      <c r="C104" s="213">
        <f t="shared" ref="C104" si="115">+C99+$N$12</f>
        <v>6.5499999999999972</v>
      </c>
      <c r="D104" s="190">
        <v>0.58299999999999996</v>
      </c>
      <c r="E104" s="190">
        <v>0.34599999999999997</v>
      </c>
      <c r="F104" s="64" t="s">
        <v>71</v>
      </c>
      <c r="G104" s="65">
        <v>0</v>
      </c>
      <c r="H104" s="66"/>
      <c r="I104" s="67"/>
      <c r="J104" s="68">
        <v>3.6999999999999998E-2</v>
      </c>
      <c r="K104" s="190">
        <f t="shared" ref="K104" si="116">+IF(E104&lt;=0.12,(J106),(IF(E104&lt;0.16,((J105+2*J106+J107)/4),IF(E104&gt;=0.16,((J104+3*J105+2*J106+3*J107+J108)/10)))))</f>
        <v>8.3699999999999997E-2</v>
      </c>
      <c r="L104" s="190">
        <f t="shared" ref="L104" si="117">ROUND(+(D99+D104)/2*(C104-C99),3)</f>
        <v>0.14099999999999999</v>
      </c>
      <c r="M104" s="190">
        <f t="shared" ref="M104" si="118">ROUND(+K104*L104,4)</f>
        <v>1.18E-2</v>
      </c>
      <c r="N104" s="193">
        <f t="shared" ref="N104" si="119">ROUND(+M104/$M$153*100,2)</f>
        <v>5.44</v>
      </c>
      <c r="O104" s="194"/>
      <c r="P104" s="195"/>
      <c r="Q104" s="53"/>
      <c r="R104" s="53"/>
      <c r="S104" s="53"/>
      <c r="T104" s="53"/>
      <c r="U104" s="53"/>
      <c r="V104" s="53"/>
      <c r="W104" s="53"/>
      <c r="X104" s="53"/>
      <c r="Y104" s="53"/>
      <c r="Z104" s="53"/>
    </row>
    <row r="105" spans="1:26" s="61" customFormat="1" ht="13.5" customHeight="1" x14ac:dyDescent="0.25">
      <c r="A105" s="53"/>
      <c r="B105" s="211"/>
      <c r="C105" s="191"/>
      <c r="D105" s="191"/>
      <c r="E105" s="191"/>
      <c r="F105" s="69" t="s">
        <v>72</v>
      </c>
      <c r="G105" s="70">
        <f t="shared" ref="G105" si="120">IF(E104&lt;0.125,"NA",IF(0.125&lt;=E104,(0.2*E104)))</f>
        <v>6.9199999999999998E-2</v>
      </c>
      <c r="H105" s="71"/>
      <c r="I105" s="72"/>
      <c r="J105" s="73">
        <v>7.5999999999999998E-2</v>
      </c>
      <c r="K105" s="191"/>
      <c r="L105" s="191"/>
      <c r="M105" s="191"/>
      <c r="N105" s="191"/>
      <c r="O105" s="191"/>
      <c r="P105" s="196"/>
      <c r="Q105" s="53"/>
      <c r="R105" s="53"/>
      <c r="S105" s="53"/>
      <c r="T105" s="53"/>
      <c r="U105" s="53"/>
      <c r="V105" s="53"/>
      <c r="W105" s="53"/>
      <c r="X105" s="53"/>
      <c r="Y105" s="53"/>
      <c r="Z105" s="53"/>
    </row>
    <row r="106" spans="1:26" s="61" customFormat="1" ht="13.5" customHeight="1" x14ac:dyDescent="0.25">
      <c r="A106" s="53"/>
      <c r="B106" s="211"/>
      <c r="C106" s="191"/>
      <c r="D106" s="191"/>
      <c r="E106" s="191"/>
      <c r="F106" s="69" t="s">
        <v>73</v>
      </c>
      <c r="G106" s="70">
        <f t="shared" ref="G106" si="121">+E104*0.4</f>
        <v>0.1384</v>
      </c>
      <c r="H106" s="71"/>
      <c r="I106" s="72"/>
      <c r="J106" s="73">
        <v>6.6000000000000003E-2</v>
      </c>
      <c r="K106" s="191"/>
      <c r="L106" s="191"/>
      <c r="M106" s="191"/>
      <c r="N106" s="191"/>
      <c r="O106" s="191"/>
      <c r="P106" s="196"/>
      <c r="Q106" s="53"/>
      <c r="R106" s="53"/>
      <c r="S106" s="53"/>
      <c r="T106" s="53"/>
      <c r="U106" s="53"/>
      <c r="V106" s="53"/>
      <c r="W106" s="53"/>
      <c r="X106" s="53"/>
      <c r="Y106" s="53"/>
      <c r="Z106" s="53"/>
    </row>
    <row r="107" spans="1:26" s="61" customFormat="1" ht="13.5" customHeight="1" x14ac:dyDescent="0.25">
      <c r="A107" s="53"/>
      <c r="B107" s="211"/>
      <c r="C107" s="191"/>
      <c r="D107" s="191"/>
      <c r="E107" s="191"/>
      <c r="F107" s="69" t="s">
        <v>74</v>
      </c>
      <c r="G107" s="70">
        <f t="shared" ref="G107" si="122">IF(E104&lt;0.125,"NA",IF(0.125&lt;=E104,(0.8*E104)))</f>
        <v>0.27679999999999999</v>
      </c>
      <c r="H107" s="71"/>
      <c r="I107" s="72"/>
      <c r="J107" s="73">
        <v>0.112</v>
      </c>
      <c r="K107" s="191"/>
      <c r="L107" s="191"/>
      <c r="M107" s="191"/>
      <c r="N107" s="191"/>
      <c r="O107" s="191"/>
      <c r="P107" s="196"/>
      <c r="Q107" s="53"/>
      <c r="R107" s="53"/>
      <c r="S107" s="53"/>
      <c r="T107" s="53"/>
      <c r="U107" s="53"/>
      <c r="V107" s="53"/>
      <c r="W107" s="53"/>
      <c r="X107" s="53"/>
      <c r="Y107" s="53"/>
      <c r="Z107" s="53"/>
    </row>
    <row r="108" spans="1:26" s="61" customFormat="1" ht="13.5" customHeight="1" thickBot="1" x14ac:dyDescent="0.3">
      <c r="A108" s="53"/>
      <c r="B108" s="212"/>
      <c r="C108" s="192"/>
      <c r="D108" s="192"/>
      <c r="E108" s="192"/>
      <c r="F108" s="74" t="s">
        <v>75</v>
      </c>
      <c r="G108" s="75">
        <f t="shared" ref="G108" si="123">+E104</f>
        <v>0.34599999999999997</v>
      </c>
      <c r="H108" s="76"/>
      <c r="I108" s="77"/>
      <c r="J108" s="78">
        <v>0.104</v>
      </c>
      <c r="K108" s="192"/>
      <c r="L108" s="192"/>
      <c r="M108" s="192"/>
      <c r="N108" s="192"/>
      <c r="O108" s="192"/>
      <c r="P108" s="197"/>
      <c r="Q108" s="53"/>
      <c r="R108" s="53"/>
      <c r="S108" s="53"/>
      <c r="T108" s="53"/>
      <c r="U108" s="53"/>
      <c r="V108" s="53"/>
      <c r="W108" s="53"/>
      <c r="X108" s="53"/>
      <c r="Y108" s="53"/>
      <c r="Z108" s="53"/>
    </row>
    <row r="109" spans="1:26" s="61" customFormat="1" ht="13.5" customHeight="1" x14ac:dyDescent="0.25">
      <c r="A109" s="53"/>
      <c r="B109" s="210">
        <v>19</v>
      </c>
      <c r="C109" s="213">
        <f t="shared" ref="C109" si="124">+C104+$N$12</f>
        <v>6.849999999999997</v>
      </c>
      <c r="D109" s="190">
        <v>0.59399999999999997</v>
      </c>
      <c r="E109" s="190">
        <v>0.53400000000000003</v>
      </c>
      <c r="F109" s="64" t="s">
        <v>71</v>
      </c>
      <c r="G109" s="65">
        <v>0</v>
      </c>
      <c r="H109" s="66"/>
      <c r="I109" s="67"/>
      <c r="J109" s="68">
        <v>2.1000000000000001E-2</v>
      </c>
      <c r="K109" s="190">
        <f t="shared" ref="K109" si="125">+IF(E109&lt;=0.12,(J111),(IF(E109&lt;0.16,((J110+2*J111+J112)/4),IF(E109&gt;=0.16,((J109+3*J110+2*J111+3*J112+J113)/10)))))</f>
        <v>5.0500000000000003E-2</v>
      </c>
      <c r="L109" s="190">
        <f t="shared" ref="L109" si="126">ROUND(+(D104+D109)/2*(C109-C104),3)</f>
        <v>0.17699999999999999</v>
      </c>
      <c r="M109" s="190">
        <f t="shared" ref="M109" si="127">ROUND(+K109*L109,4)</f>
        <v>8.8999999999999999E-3</v>
      </c>
      <c r="N109" s="193">
        <f t="shared" ref="N109" si="128">ROUND(+M109/$M$153*100,2)</f>
        <v>4.0999999999999996</v>
      </c>
      <c r="O109" s="194"/>
      <c r="P109" s="195"/>
      <c r="Q109" s="53"/>
      <c r="R109" s="53"/>
      <c r="S109" s="53"/>
      <c r="T109" s="53"/>
      <c r="U109" s="53"/>
      <c r="V109" s="53"/>
      <c r="W109" s="53"/>
      <c r="X109" s="53"/>
      <c r="Y109" s="53"/>
      <c r="Z109" s="53"/>
    </row>
    <row r="110" spans="1:26" s="61" customFormat="1" ht="13.5" customHeight="1" x14ac:dyDescent="0.25">
      <c r="A110" s="53"/>
      <c r="B110" s="211"/>
      <c r="C110" s="191"/>
      <c r="D110" s="191"/>
      <c r="E110" s="191"/>
      <c r="F110" s="69" t="s">
        <v>72</v>
      </c>
      <c r="G110" s="70">
        <f t="shared" ref="G110" si="129">IF(E109&lt;0.125,"NA",IF(0.125&lt;=E109,(0.2*E109)))</f>
        <v>0.10680000000000001</v>
      </c>
      <c r="H110" s="71"/>
      <c r="I110" s="72"/>
      <c r="J110" s="73">
        <v>0.03</v>
      </c>
      <c r="K110" s="191"/>
      <c r="L110" s="191"/>
      <c r="M110" s="191"/>
      <c r="N110" s="191"/>
      <c r="O110" s="191"/>
      <c r="P110" s="196"/>
      <c r="Q110" s="53"/>
      <c r="R110" s="53"/>
      <c r="S110" s="53"/>
      <c r="T110" s="53"/>
      <c r="U110" s="53"/>
      <c r="V110" s="53"/>
      <c r="W110" s="53"/>
      <c r="X110" s="53"/>
      <c r="Y110" s="53"/>
      <c r="Z110" s="53"/>
    </row>
    <row r="111" spans="1:26" s="61" customFormat="1" ht="13.5" customHeight="1" x14ac:dyDescent="0.25">
      <c r="A111" s="53"/>
      <c r="B111" s="211"/>
      <c r="C111" s="191"/>
      <c r="D111" s="191"/>
      <c r="E111" s="191"/>
      <c r="F111" s="69" t="s">
        <v>73</v>
      </c>
      <c r="G111" s="70">
        <f t="shared" ref="G111" si="130">+E109*0.4</f>
        <v>0.21360000000000001</v>
      </c>
      <c r="H111" s="71"/>
      <c r="I111" s="72"/>
      <c r="J111" s="73">
        <v>5.2999999999999999E-2</v>
      </c>
      <c r="K111" s="191"/>
      <c r="L111" s="191"/>
      <c r="M111" s="191"/>
      <c r="N111" s="191"/>
      <c r="O111" s="191"/>
      <c r="P111" s="196"/>
      <c r="Q111" s="53"/>
      <c r="R111" s="53"/>
      <c r="S111" s="53"/>
      <c r="T111" s="53"/>
      <c r="U111" s="53"/>
      <c r="V111" s="53"/>
      <c r="W111" s="53"/>
      <c r="X111" s="53"/>
      <c r="Y111" s="53"/>
      <c r="Z111" s="53"/>
    </row>
    <row r="112" spans="1:26" s="61" customFormat="1" ht="13.5" customHeight="1" x14ac:dyDescent="0.25">
      <c r="A112" s="53"/>
      <c r="B112" s="211"/>
      <c r="C112" s="191"/>
      <c r="D112" s="191"/>
      <c r="E112" s="191"/>
      <c r="F112" s="69" t="s">
        <v>74</v>
      </c>
      <c r="G112" s="70">
        <f t="shared" ref="G112" si="131">IF(E109&lt;0.125,"NA",IF(0.125&lt;=E109,(0.8*E109)))</f>
        <v>0.42720000000000002</v>
      </c>
      <c r="H112" s="71"/>
      <c r="I112" s="72"/>
      <c r="J112" s="73">
        <v>6.5000000000000002E-2</v>
      </c>
      <c r="K112" s="191"/>
      <c r="L112" s="191"/>
      <c r="M112" s="191"/>
      <c r="N112" s="191"/>
      <c r="O112" s="191"/>
      <c r="P112" s="196"/>
      <c r="Q112" s="53"/>
      <c r="R112" s="53"/>
      <c r="S112" s="53"/>
      <c r="T112" s="53"/>
      <c r="U112" s="53"/>
      <c r="V112" s="53"/>
      <c r="W112" s="53"/>
      <c r="X112" s="53"/>
      <c r="Y112" s="53"/>
      <c r="Z112" s="53"/>
    </row>
    <row r="113" spans="1:26" s="61" customFormat="1" ht="13.5" customHeight="1" thickBot="1" x14ac:dyDescent="0.3">
      <c r="A113" s="53"/>
      <c r="B113" s="212"/>
      <c r="C113" s="192"/>
      <c r="D113" s="192"/>
      <c r="E113" s="192"/>
      <c r="F113" s="74" t="s">
        <v>75</v>
      </c>
      <c r="G113" s="75">
        <f t="shared" ref="G113" si="132">+E109</f>
        <v>0.53400000000000003</v>
      </c>
      <c r="H113" s="76"/>
      <c r="I113" s="77"/>
      <c r="J113" s="78">
        <v>9.2999999999999999E-2</v>
      </c>
      <c r="K113" s="192"/>
      <c r="L113" s="192"/>
      <c r="M113" s="192"/>
      <c r="N113" s="192"/>
      <c r="O113" s="192"/>
      <c r="P113" s="197"/>
      <c r="Q113" s="53"/>
      <c r="R113" s="53"/>
      <c r="S113" s="53"/>
      <c r="T113" s="53"/>
      <c r="U113" s="53"/>
      <c r="V113" s="53"/>
      <c r="W113" s="53"/>
      <c r="X113" s="53"/>
      <c r="Y113" s="53"/>
      <c r="Z113" s="53"/>
    </row>
    <row r="114" spans="1:26" s="61" customFormat="1" ht="13.5" customHeight="1" x14ac:dyDescent="0.25">
      <c r="A114" s="53"/>
      <c r="B114" s="210">
        <v>20</v>
      </c>
      <c r="C114" s="213">
        <f t="shared" ref="C114" si="133">+C109+$N$12</f>
        <v>7.1499999999999968</v>
      </c>
      <c r="D114" s="190">
        <v>0.48599999999999999</v>
      </c>
      <c r="E114" s="190">
        <v>0.56699999999999995</v>
      </c>
      <c r="F114" s="64" t="s">
        <v>71</v>
      </c>
      <c r="G114" s="65">
        <v>0</v>
      </c>
      <c r="H114" s="66"/>
      <c r="I114" s="67"/>
      <c r="J114" s="68">
        <v>2.3E-2</v>
      </c>
      <c r="K114" s="190">
        <f t="shared" ref="K114" si="134">+IF(E114&lt;=0.12,(J116),(IF(E114&lt;0.16,((J115+2*J116+J117)/4),IF(E114&gt;=0.16,((J114+3*J115+2*J116+3*J117+J118)/10)))))</f>
        <v>3.15E-2</v>
      </c>
      <c r="L114" s="190">
        <f t="shared" ref="L114" si="135">ROUND(+(D109+D114)/2*(C114-C109),3)</f>
        <v>0.16200000000000001</v>
      </c>
      <c r="M114" s="190">
        <f t="shared" ref="M114" si="136">ROUND(+K114*L114,4)</f>
        <v>5.1000000000000004E-3</v>
      </c>
      <c r="N114" s="193">
        <f t="shared" ref="N114" si="137">ROUND(+M114/$M$153*100,2)</f>
        <v>2.35</v>
      </c>
      <c r="O114" s="194"/>
      <c r="P114" s="195"/>
      <c r="Q114" s="53"/>
      <c r="R114" s="53"/>
      <c r="S114" s="53"/>
      <c r="T114" s="53"/>
      <c r="U114" s="53"/>
      <c r="V114" s="53"/>
      <c r="W114" s="53"/>
      <c r="X114" s="53"/>
      <c r="Y114" s="53"/>
      <c r="Z114" s="53"/>
    </row>
    <row r="115" spans="1:26" s="61" customFormat="1" ht="13.5" customHeight="1" x14ac:dyDescent="0.25">
      <c r="A115" s="53"/>
      <c r="B115" s="211"/>
      <c r="C115" s="191"/>
      <c r="D115" s="191"/>
      <c r="E115" s="191"/>
      <c r="F115" s="69" t="s">
        <v>72</v>
      </c>
      <c r="G115" s="70">
        <f t="shared" ref="G115" si="138">IF(E114&lt;0.125,"NA",IF(0.125&lt;=E114,(0.2*E114)))</f>
        <v>0.1134</v>
      </c>
      <c r="H115" s="71"/>
      <c r="I115" s="72"/>
      <c r="J115" s="73">
        <v>3.2000000000000001E-2</v>
      </c>
      <c r="K115" s="191"/>
      <c r="L115" s="191"/>
      <c r="M115" s="191"/>
      <c r="N115" s="191"/>
      <c r="O115" s="191"/>
      <c r="P115" s="196"/>
      <c r="Q115" s="53"/>
      <c r="R115" s="53"/>
      <c r="S115" s="53"/>
      <c r="T115" s="53"/>
      <c r="U115" s="53"/>
      <c r="V115" s="53"/>
      <c r="W115" s="53"/>
      <c r="X115" s="53"/>
      <c r="Y115" s="53"/>
      <c r="Z115" s="53"/>
    </row>
    <row r="116" spans="1:26" s="61" customFormat="1" ht="13.5" customHeight="1" x14ac:dyDescent="0.25">
      <c r="A116" s="53"/>
      <c r="B116" s="211"/>
      <c r="C116" s="191"/>
      <c r="D116" s="191"/>
      <c r="E116" s="191"/>
      <c r="F116" s="69" t="s">
        <v>73</v>
      </c>
      <c r="G116" s="70">
        <f t="shared" ref="G116" si="139">+E114*0.4</f>
        <v>0.2268</v>
      </c>
      <c r="H116" s="71"/>
      <c r="I116" s="72"/>
      <c r="J116" s="73">
        <v>2.3E-2</v>
      </c>
      <c r="K116" s="191"/>
      <c r="L116" s="191"/>
      <c r="M116" s="191"/>
      <c r="N116" s="191"/>
      <c r="O116" s="191"/>
      <c r="P116" s="196"/>
      <c r="Q116" s="53"/>
      <c r="R116" s="53"/>
      <c r="S116" s="53"/>
      <c r="T116" s="53"/>
      <c r="U116" s="53"/>
      <c r="V116" s="53"/>
      <c r="W116" s="53"/>
      <c r="X116" s="53"/>
      <c r="Y116" s="53"/>
      <c r="Z116" s="53"/>
    </row>
    <row r="117" spans="1:26" s="61" customFormat="1" ht="13.5" customHeight="1" x14ac:dyDescent="0.25">
      <c r="A117" s="53"/>
      <c r="B117" s="211"/>
      <c r="C117" s="191"/>
      <c r="D117" s="191"/>
      <c r="E117" s="191"/>
      <c r="F117" s="69" t="s">
        <v>74</v>
      </c>
      <c r="G117" s="70">
        <f t="shared" ref="G117" si="140">IF(E114&lt;0.125,"NA",IF(0.125&lt;=E114,(0.8*E114)))</f>
        <v>0.4536</v>
      </c>
      <c r="H117" s="71"/>
      <c r="I117" s="72"/>
      <c r="J117" s="73">
        <v>3.4000000000000002E-2</v>
      </c>
      <c r="K117" s="191"/>
      <c r="L117" s="191"/>
      <c r="M117" s="191"/>
      <c r="N117" s="191"/>
      <c r="O117" s="191"/>
      <c r="P117" s="196"/>
      <c r="Q117" s="53"/>
      <c r="R117" s="53"/>
      <c r="S117" s="53"/>
      <c r="T117" s="53"/>
      <c r="U117" s="53"/>
      <c r="V117" s="53"/>
      <c r="W117" s="53"/>
      <c r="X117" s="53"/>
      <c r="Y117" s="53"/>
      <c r="Z117" s="53"/>
    </row>
    <row r="118" spans="1:26" s="61" customFormat="1" ht="13.5" customHeight="1" thickBot="1" x14ac:dyDescent="0.3">
      <c r="A118" s="53"/>
      <c r="B118" s="212"/>
      <c r="C118" s="192"/>
      <c r="D118" s="192"/>
      <c r="E118" s="192"/>
      <c r="F118" s="74" t="s">
        <v>75</v>
      </c>
      <c r="G118" s="75">
        <f t="shared" ref="G118" si="141">+E114</f>
        <v>0.56699999999999995</v>
      </c>
      <c r="H118" s="76"/>
      <c r="I118" s="77"/>
      <c r="J118" s="78">
        <v>4.8000000000000001E-2</v>
      </c>
      <c r="K118" s="192"/>
      <c r="L118" s="192"/>
      <c r="M118" s="192"/>
      <c r="N118" s="192"/>
      <c r="O118" s="192"/>
      <c r="P118" s="197"/>
      <c r="Q118" s="53"/>
      <c r="R118" s="53"/>
      <c r="S118" s="53"/>
      <c r="T118" s="53"/>
      <c r="U118" s="53"/>
      <c r="V118" s="53"/>
      <c r="W118" s="53"/>
      <c r="X118" s="53"/>
      <c r="Y118" s="53"/>
      <c r="Z118" s="53"/>
    </row>
    <row r="119" spans="1:26" s="61" customFormat="1" ht="13.5" customHeight="1" x14ac:dyDescent="0.25">
      <c r="A119" s="53"/>
      <c r="B119" s="210">
        <v>21</v>
      </c>
      <c r="C119" s="213">
        <f t="shared" ref="C119" si="142">+C114+$N$12</f>
        <v>7.4499999999999966</v>
      </c>
      <c r="D119" s="190">
        <v>0.33400000000000002</v>
      </c>
      <c r="E119" s="190">
        <v>0.42</v>
      </c>
      <c r="F119" s="64" t="s">
        <v>71</v>
      </c>
      <c r="G119" s="65">
        <v>0</v>
      </c>
      <c r="H119" s="66"/>
      <c r="I119" s="67"/>
      <c r="J119" s="68">
        <v>0.02</v>
      </c>
      <c r="K119" s="190">
        <f t="shared" ref="K119" si="143">+IF(E119&lt;=0.12,(J121),(IF(E119&lt;0.16,((J120+2*J121+J122)/4),IF(E119&gt;=0.16,((J119+3*J120+2*J121+3*J122+J123)/10)))))</f>
        <v>2.7800000000000002E-2</v>
      </c>
      <c r="L119" s="190">
        <f>ROUND(+(D114+D119)/2*(C119-C114),3)</f>
        <v>0.123</v>
      </c>
      <c r="M119" s="190">
        <f t="shared" ref="M119" si="144">ROUND(+K119*L119,4)</f>
        <v>3.3999999999999998E-3</v>
      </c>
      <c r="N119" s="193">
        <f t="shared" ref="N119" si="145">ROUND(+M119/$M$153*100,2)</f>
        <v>1.57</v>
      </c>
      <c r="O119" s="194"/>
      <c r="P119" s="195"/>
      <c r="Q119" s="53"/>
      <c r="R119" s="53"/>
      <c r="S119" s="53"/>
      <c r="T119" s="53"/>
      <c r="U119" s="53"/>
      <c r="V119" s="53"/>
      <c r="W119" s="53"/>
      <c r="X119" s="53"/>
      <c r="Y119" s="53"/>
      <c r="Z119" s="53"/>
    </row>
    <row r="120" spans="1:26" s="61" customFormat="1" ht="13.5" customHeight="1" x14ac:dyDescent="0.25">
      <c r="A120" s="53"/>
      <c r="B120" s="211"/>
      <c r="C120" s="191"/>
      <c r="D120" s="191"/>
      <c r="E120" s="191"/>
      <c r="F120" s="69" t="s">
        <v>72</v>
      </c>
      <c r="G120" s="70">
        <f t="shared" ref="G120" si="146">IF(E119&lt;0.125,"NA",IF(0.125&lt;=E119,(0.2*E119)))</f>
        <v>8.4000000000000005E-2</v>
      </c>
      <c r="H120" s="71"/>
      <c r="I120" s="72"/>
      <c r="J120" s="73">
        <v>2.1999999999999999E-2</v>
      </c>
      <c r="K120" s="191"/>
      <c r="L120" s="191"/>
      <c r="M120" s="191"/>
      <c r="N120" s="191"/>
      <c r="O120" s="191"/>
      <c r="P120" s="196"/>
      <c r="Q120" s="53"/>
      <c r="R120" s="53"/>
      <c r="S120" s="53"/>
      <c r="T120" s="53"/>
      <c r="U120" s="53"/>
      <c r="V120" s="53"/>
      <c r="W120" s="53"/>
      <c r="X120" s="53"/>
      <c r="Y120" s="53"/>
      <c r="Z120" s="53"/>
    </row>
    <row r="121" spans="1:26" s="61" customFormat="1" ht="13.5" customHeight="1" x14ac:dyDescent="0.25">
      <c r="A121" s="53"/>
      <c r="B121" s="211"/>
      <c r="C121" s="191"/>
      <c r="D121" s="191"/>
      <c r="E121" s="191"/>
      <c r="F121" s="69" t="s">
        <v>73</v>
      </c>
      <c r="G121" s="70">
        <f t="shared" ref="G121" si="147">+E119*0.4</f>
        <v>0.16800000000000001</v>
      </c>
      <c r="H121" s="71"/>
      <c r="I121" s="72"/>
      <c r="J121" s="73">
        <v>1.7000000000000001E-2</v>
      </c>
      <c r="K121" s="191"/>
      <c r="L121" s="191"/>
      <c r="M121" s="191"/>
      <c r="N121" s="191"/>
      <c r="O121" s="191"/>
      <c r="P121" s="196"/>
      <c r="Q121" s="53"/>
      <c r="R121" s="53"/>
      <c r="S121" s="53"/>
      <c r="T121" s="53"/>
      <c r="U121" s="53"/>
      <c r="V121" s="53"/>
      <c r="W121" s="53"/>
      <c r="X121" s="53"/>
      <c r="Y121" s="53"/>
      <c r="Z121" s="53"/>
    </row>
    <row r="122" spans="1:26" s="61" customFormat="1" ht="13.5" customHeight="1" x14ac:dyDescent="0.25">
      <c r="A122" s="53"/>
      <c r="B122" s="211"/>
      <c r="C122" s="191"/>
      <c r="D122" s="191"/>
      <c r="E122" s="191"/>
      <c r="F122" s="69" t="s">
        <v>74</v>
      </c>
      <c r="G122" s="70">
        <f t="shared" ref="G122" si="148">IF(E119&lt;0.125,"NA",IF(0.125&lt;=E119,(0.8*E119)))</f>
        <v>0.33600000000000002</v>
      </c>
      <c r="H122" s="71"/>
      <c r="I122" s="72"/>
      <c r="J122" s="73">
        <v>3.4000000000000002E-2</v>
      </c>
      <c r="K122" s="191"/>
      <c r="L122" s="191"/>
      <c r="M122" s="191"/>
      <c r="N122" s="191"/>
      <c r="O122" s="191"/>
      <c r="P122" s="196"/>
      <c r="Q122" s="53"/>
      <c r="R122" s="53"/>
      <c r="S122" s="53"/>
      <c r="T122" s="53"/>
      <c r="U122" s="53"/>
      <c r="V122" s="53"/>
      <c r="W122" s="53"/>
      <c r="X122" s="53"/>
      <c r="Y122" s="53"/>
      <c r="Z122" s="53"/>
    </row>
    <row r="123" spans="1:26" s="61" customFormat="1" ht="13.5" customHeight="1" thickBot="1" x14ac:dyDescent="0.3">
      <c r="A123" s="53"/>
      <c r="B123" s="212"/>
      <c r="C123" s="192"/>
      <c r="D123" s="192"/>
      <c r="E123" s="192"/>
      <c r="F123" s="74" t="s">
        <v>75</v>
      </c>
      <c r="G123" s="75">
        <f t="shared" ref="G123" si="149">+E119</f>
        <v>0.42</v>
      </c>
      <c r="H123" s="76"/>
      <c r="I123" s="77"/>
      <c r="J123" s="78">
        <v>5.6000000000000001E-2</v>
      </c>
      <c r="K123" s="192"/>
      <c r="L123" s="192"/>
      <c r="M123" s="192"/>
      <c r="N123" s="192"/>
      <c r="O123" s="192"/>
      <c r="P123" s="197"/>
      <c r="Q123" s="53"/>
      <c r="R123" s="53"/>
      <c r="S123" s="53"/>
      <c r="T123" s="53"/>
      <c r="U123" s="53"/>
      <c r="V123" s="53"/>
      <c r="W123" s="53"/>
      <c r="X123" s="53"/>
      <c r="Y123" s="53"/>
      <c r="Z123" s="53"/>
    </row>
    <row r="124" spans="1:26" s="61" customFormat="1" ht="13.5" customHeight="1" x14ac:dyDescent="0.25">
      <c r="A124" s="53"/>
      <c r="B124" s="210">
        <v>22</v>
      </c>
      <c r="C124" s="213">
        <f t="shared" ref="C124" si="150">+C119+$N$12</f>
        <v>7.7499999999999964</v>
      </c>
      <c r="D124" s="190">
        <v>0.252</v>
      </c>
      <c r="E124" s="190">
        <v>0.33400000000000002</v>
      </c>
      <c r="F124" s="64" t="s">
        <v>71</v>
      </c>
      <c r="G124" s="65">
        <v>0</v>
      </c>
      <c r="H124" s="66"/>
      <c r="I124" s="67"/>
      <c r="J124" s="68">
        <v>2E-3</v>
      </c>
      <c r="K124" s="190">
        <f t="shared" ref="K124" si="151">+IF(E124&lt;=0.12,(J126),(IF(E124&lt;0.16,((J125+2*J126+J127)/4),IF(E124&gt;=0.16,((J124+3*J125+2*J126+3*J127+J128)/10)))))</f>
        <v>1.1900000000000001E-2</v>
      </c>
      <c r="L124" s="190">
        <f t="shared" ref="L124" si="152">ROUND(+(D119+D124)/2*(C124-C119),3)</f>
        <v>8.7999999999999995E-2</v>
      </c>
      <c r="M124" s="190">
        <f t="shared" ref="M124" si="153">ROUND(+K124*L124,4)</f>
        <v>1E-3</v>
      </c>
      <c r="N124" s="193">
        <f t="shared" ref="N124" si="154">ROUND(+M124/$M$153*100,2)</f>
        <v>0.46</v>
      </c>
      <c r="O124" s="194"/>
      <c r="P124" s="195"/>
      <c r="Q124" s="53"/>
      <c r="R124" s="53"/>
      <c r="S124" s="53"/>
      <c r="T124" s="53"/>
      <c r="U124" s="53"/>
      <c r="V124" s="53"/>
      <c r="W124" s="53"/>
      <c r="X124" s="53"/>
      <c r="Y124" s="53"/>
      <c r="Z124" s="53"/>
    </row>
    <row r="125" spans="1:26" s="61" customFormat="1" ht="13.5" customHeight="1" x14ac:dyDescent="0.25">
      <c r="A125" s="53"/>
      <c r="B125" s="211"/>
      <c r="C125" s="191"/>
      <c r="D125" s="191"/>
      <c r="E125" s="191"/>
      <c r="F125" s="69" t="s">
        <v>72</v>
      </c>
      <c r="G125" s="70">
        <f t="shared" ref="G125" si="155">IF(E124&lt;0.125,"NA",IF(0.125&lt;=E124,(0.2*E124)))</f>
        <v>6.6800000000000012E-2</v>
      </c>
      <c r="H125" s="71"/>
      <c r="I125" s="72"/>
      <c r="J125" s="73">
        <v>1.2E-2</v>
      </c>
      <c r="K125" s="191"/>
      <c r="L125" s="191"/>
      <c r="M125" s="191"/>
      <c r="N125" s="191"/>
      <c r="O125" s="191"/>
      <c r="P125" s="196"/>
      <c r="Q125" s="53"/>
      <c r="R125" s="53"/>
      <c r="S125" s="53"/>
      <c r="T125" s="53"/>
      <c r="U125" s="53"/>
      <c r="V125" s="53"/>
      <c r="W125" s="53"/>
      <c r="X125" s="53"/>
      <c r="Y125" s="53"/>
      <c r="Z125" s="53"/>
    </row>
    <row r="126" spans="1:26" s="61" customFormat="1" ht="13.5" customHeight="1" x14ac:dyDescent="0.25">
      <c r="A126" s="53"/>
      <c r="B126" s="211"/>
      <c r="C126" s="191"/>
      <c r="D126" s="191"/>
      <c r="E126" s="191"/>
      <c r="F126" s="69" t="s">
        <v>73</v>
      </c>
      <c r="G126" s="70">
        <f t="shared" ref="G126" si="156">+E124*0.4</f>
        <v>0.13360000000000002</v>
      </c>
      <c r="H126" s="71"/>
      <c r="I126" s="72"/>
      <c r="J126" s="73">
        <v>0.01</v>
      </c>
      <c r="K126" s="191"/>
      <c r="L126" s="191"/>
      <c r="M126" s="191"/>
      <c r="N126" s="191"/>
      <c r="O126" s="191"/>
      <c r="P126" s="196"/>
      <c r="Q126" s="53"/>
      <c r="R126" s="53"/>
      <c r="S126" s="53"/>
      <c r="T126" s="53"/>
      <c r="U126" s="53"/>
      <c r="V126" s="53"/>
      <c r="W126" s="53"/>
      <c r="X126" s="53"/>
      <c r="Y126" s="53"/>
      <c r="Z126" s="53"/>
    </row>
    <row r="127" spans="1:26" s="61" customFormat="1" ht="13.5" customHeight="1" x14ac:dyDescent="0.25">
      <c r="A127" s="53"/>
      <c r="B127" s="211"/>
      <c r="C127" s="191"/>
      <c r="D127" s="191"/>
      <c r="E127" s="191"/>
      <c r="F127" s="69" t="s">
        <v>74</v>
      </c>
      <c r="G127" s="70">
        <f t="shared" ref="G127" si="157">IF(E124&lt;0.125,"NA",IF(0.125&lt;=E124,(0.8*E124)))</f>
        <v>0.26720000000000005</v>
      </c>
      <c r="H127" s="71"/>
      <c r="I127" s="72"/>
      <c r="J127" s="73">
        <v>1.4E-2</v>
      </c>
      <c r="K127" s="191"/>
      <c r="L127" s="191"/>
      <c r="M127" s="191"/>
      <c r="N127" s="191"/>
      <c r="O127" s="191"/>
      <c r="P127" s="196"/>
      <c r="Q127" s="53"/>
      <c r="R127" s="53"/>
      <c r="S127" s="53"/>
      <c r="T127" s="53"/>
      <c r="U127" s="53"/>
      <c r="V127" s="53"/>
      <c r="W127" s="53"/>
      <c r="X127" s="53"/>
      <c r="Y127" s="53"/>
      <c r="Z127" s="53"/>
    </row>
    <row r="128" spans="1:26" s="61" customFormat="1" ht="13.5" customHeight="1" thickBot="1" x14ac:dyDescent="0.3">
      <c r="A128" s="53"/>
      <c r="B128" s="212"/>
      <c r="C128" s="192"/>
      <c r="D128" s="192"/>
      <c r="E128" s="192"/>
      <c r="F128" s="74" t="s">
        <v>75</v>
      </c>
      <c r="G128" s="75">
        <f t="shared" ref="G128" si="158">+E124</f>
        <v>0.33400000000000002</v>
      </c>
      <c r="H128" s="76"/>
      <c r="I128" s="77"/>
      <c r="J128" s="78">
        <v>1.9E-2</v>
      </c>
      <c r="K128" s="192"/>
      <c r="L128" s="192"/>
      <c r="M128" s="192"/>
      <c r="N128" s="192"/>
      <c r="O128" s="192"/>
      <c r="P128" s="197"/>
      <c r="Q128" s="53"/>
      <c r="R128" s="53"/>
      <c r="S128" s="53"/>
      <c r="T128" s="53"/>
      <c r="U128" s="53"/>
      <c r="V128" s="53"/>
      <c r="W128" s="53"/>
      <c r="X128" s="53"/>
      <c r="Y128" s="53"/>
      <c r="Z128" s="53"/>
    </row>
    <row r="129" spans="1:26" s="61" customFormat="1" ht="13.5" customHeight="1" x14ac:dyDescent="0.25">
      <c r="A129" s="53"/>
      <c r="B129" s="210">
        <v>23</v>
      </c>
      <c r="C129" s="213">
        <f>C124+0.45</f>
        <v>8.1999999999999957</v>
      </c>
      <c r="D129" s="190">
        <v>0.19</v>
      </c>
      <c r="E129" s="190">
        <v>0.14000000000000001</v>
      </c>
      <c r="F129" s="64" t="s">
        <v>71</v>
      </c>
      <c r="G129" s="65">
        <v>0</v>
      </c>
      <c r="H129" s="66"/>
      <c r="I129" s="67"/>
      <c r="J129" s="68">
        <v>1.7999999999999999E-2</v>
      </c>
      <c r="K129" s="190">
        <f t="shared" ref="K129" si="159">+IF(E129&lt;=0.12,(J131),(IF(E129&lt;0.16,((J130+2*J131+J132)/4),IF(E129&gt;=0.16,((J129+3*J130+2*J131+3*J132+J133)/10)))))</f>
        <v>1.8250000000000002E-2</v>
      </c>
      <c r="L129" s="190">
        <f>ROUND(+(D124+D129)/2*(C129-C124),3)</f>
        <v>9.9000000000000005E-2</v>
      </c>
      <c r="M129" s="190">
        <f t="shared" ref="M129" si="160">ROUND(+K129*L129,4)</f>
        <v>1.8E-3</v>
      </c>
      <c r="N129" s="193">
        <f t="shared" ref="N129" si="161">ROUND(+M129/$M$153*100,2)</f>
        <v>0.83</v>
      </c>
      <c r="O129" s="194"/>
      <c r="P129" s="195"/>
      <c r="Q129" s="53"/>
      <c r="R129" s="53"/>
      <c r="S129" s="53"/>
      <c r="T129" s="53"/>
      <c r="U129" s="53"/>
      <c r="V129" s="53"/>
      <c r="W129" s="53"/>
      <c r="X129" s="53"/>
      <c r="Y129" s="53"/>
      <c r="Z129" s="53"/>
    </row>
    <row r="130" spans="1:26" s="61" customFormat="1" ht="13.5" customHeight="1" x14ac:dyDescent="0.25">
      <c r="A130" s="53"/>
      <c r="B130" s="211"/>
      <c r="C130" s="191"/>
      <c r="D130" s="191"/>
      <c r="E130" s="191"/>
      <c r="F130" s="69" t="s">
        <v>72</v>
      </c>
      <c r="G130" s="70">
        <f t="shared" ref="G130" si="162">IF(E129&lt;0.125,"NA",IF(0.125&lt;=E129,(0.2*E129)))</f>
        <v>2.8000000000000004E-2</v>
      </c>
      <c r="H130" s="71"/>
      <c r="I130" s="72"/>
      <c r="J130" s="73">
        <v>0.01</v>
      </c>
      <c r="K130" s="191"/>
      <c r="L130" s="191"/>
      <c r="M130" s="191"/>
      <c r="N130" s="191"/>
      <c r="O130" s="191"/>
      <c r="P130" s="196"/>
      <c r="Q130" s="53"/>
      <c r="R130" s="53"/>
      <c r="S130" s="53"/>
      <c r="T130" s="53"/>
      <c r="U130" s="53"/>
      <c r="V130" s="53"/>
      <c r="W130" s="53"/>
      <c r="X130" s="53"/>
      <c r="Y130" s="53"/>
      <c r="Z130" s="53"/>
    </row>
    <row r="131" spans="1:26" s="61" customFormat="1" ht="13.5" customHeight="1" x14ac:dyDescent="0.25">
      <c r="A131" s="53"/>
      <c r="B131" s="211"/>
      <c r="C131" s="191"/>
      <c r="D131" s="191"/>
      <c r="E131" s="191"/>
      <c r="F131" s="69" t="s">
        <v>73</v>
      </c>
      <c r="G131" s="70">
        <f t="shared" ref="G131" si="163">+E129*0.4</f>
        <v>5.6000000000000008E-2</v>
      </c>
      <c r="H131" s="71"/>
      <c r="I131" s="72"/>
      <c r="J131" s="73">
        <v>2.5000000000000001E-2</v>
      </c>
      <c r="K131" s="191"/>
      <c r="L131" s="191"/>
      <c r="M131" s="191"/>
      <c r="N131" s="191"/>
      <c r="O131" s="191"/>
      <c r="P131" s="196"/>
      <c r="Q131" s="53"/>
      <c r="R131" s="53"/>
      <c r="S131" s="53"/>
      <c r="T131" s="53"/>
      <c r="U131" s="53"/>
      <c r="V131" s="53"/>
      <c r="W131" s="53"/>
      <c r="X131" s="53"/>
      <c r="Y131" s="53"/>
      <c r="Z131" s="53"/>
    </row>
    <row r="132" spans="1:26" s="61" customFormat="1" ht="13.5" customHeight="1" x14ac:dyDescent="0.25">
      <c r="A132" s="53"/>
      <c r="B132" s="211"/>
      <c r="C132" s="191"/>
      <c r="D132" s="191"/>
      <c r="E132" s="191"/>
      <c r="F132" s="69" t="s">
        <v>74</v>
      </c>
      <c r="G132" s="70">
        <f t="shared" ref="G132" si="164">IF(E129&lt;0.125,"NA",IF(0.125&lt;=E129,(0.8*E129)))</f>
        <v>0.11200000000000002</v>
      </c>
      <c r="H132" s="71"/>
      <c r="I132" s="72"/>
      <c r="J132" s="73">
        <v>1.2999999999999999E-2</v>
      </c>
      <c r="K132" s="191"/>
      <c r="L132" s="191"/>
      <c r="M132" s="191"/>
      <c r="N132" s="191"/>
      <c r="O132" s="191"/>
      <c r="P132" s="196"/>
      <c r="Q132" s="53"/>
      <c r="R132" s="53"/>
      <c r="S132" s="53"/>
      <c r="T132" s="53"/>
      <c r="U132" s="53"/>
      <c r="V132" s="53"/>
      <c r="W132" s="53"/>
      <c r="X132" s="53"/>
      <c r="Y132" s="53"/>
      <c r="Z132" s="53"/>
    </row>
    <row r="133" spans="1:26" s="61" customFormat="1" ht="13.5" customHeight="1" thickBot="1" x14ac:dyDescent="0.3">
      <c r="A133" s="53"/>
      <c r="B133" s="212"/>
      <c r="C133" s="192"/>
      <c r="D133" s="192"/>
      <c r="E133" s="192"/>
      <c r="F133" s="74" t="s">
        <v>75</v>
      </c>
      <c r="G133" s="75">
        <f t="shared" ref="G133" si="165">+E129</f>
        <v>0.14000000000000001</v>
      </c>
      <c r="H133" s="76"/>
      <c r="I133" s="77"/>
      <c r="J133" s="78">
        <v>2.8000000000000001E-2</v>
      </c>
      <c r="K133" s="192"/>
      <c r="L133" s="192"/>
      <c r="M133" s="192"/>
      <c r="N133" s="192"/>
      <c r="O133" s="192"/>
      <c r="P133" s="197"/>
      <c r="Q133" s="53"/>
      <c r="R133" s="53"/>
      <c r="S133" s="53"/>
      <c r="T133" s="53"/>
      <c r="U133" s="53"/>
      <c r="V133" s="53"/>
      <c r="W133" s="53"/>
      <c r="X133" s="53"/>
      <c r="Y133" s="53"/>
      <c r="Z133" s="53"/>
    </row>
    <row r="134" spans="1:26" s="3" customFormat="1" ht="14.1" customHeight="1" x14ac:dyDescent="0.2">
      <c r="B134" s="198" t="s">
        <v>29</v>
      </c>
      <c r="C134" s="201"/>
      <c r="D134" s="202"/>
      <c r="E134" s="202"/>
      <c r="F134" s="202"/>
      <c r="G134" s="202"/>
      <c r="H134" s="202"/>
      <c r="I134" s="202"/>
      <c r="J134" s="202"/>
      <c r="K134" s="202"/>
      <c r="L134" s="202"/>
      <c r="M134" s="202"/>
      <c r="N134" s="202"/>
      <c r="O134" s="202"/>
      <c r="P134" s="203"/>
    </row>
    <row r="135" spans="1:26" s="3" customFormat="1" ht="14.1" customHeight="1" x14ac:dyDescent="0.2">
      <c r="B135" s="199"/>
      <c r="C135" s="204"/>
      <c r="D135" s="205"/>
      <c r="E135" s="205"/>
      <c r="F135" s="205"/>
      <c r="G135" s="205"/>
      <c r="H135" s="205"/>
      <c r="I135" s="205"/>
      <c r="J135" s="205"/>
      <c r="K135" s="205"/>
      <c r="L135" s="205"/>
      <c r="M135" s="205"/>
      <c r="N135" s="205"/>
      <c r="O135" s="205"/>
      <c r="P135" s="206"/>
    </row>
    <row r="136" spans="1:26" s="3" customFormat="1" ht="14.1" customHeight="1" x14ac:dyDescent="0.2">
      <c r="B136" s="199"/>
      <c r="C136" s="204"/>
      <c r="D136" s="205"/>
      <c r="E136" s="205"/>
      <c r="F136" s="205"/>
      <c r="G136" s="205"/>
      <c r="H136" s="205"/>
      <c r="I136" s="205"/>
      <c r="J136" s="205"/>
      <c r="K136" s="205"/>
      <c r="L136" s="205"/>
      <c r="M136" s="205"/>
      <c r="N136" s="205"/>
      <c r="O136" s="205"/>
      <c r="P136" s="206"/>
    </row>
    <row r="137" spans="1:26" s="3" customFormat="1" ht="14.1" customHeight="1" x14ac:dyDescent="0.2">
      <c r="B137" s="199"/>
      <c r="C137" s="204"/>
      <c r="D137" s="205"/>
      <c r="E137" s="205"/>
      <c r="F137" s="205"/>
      <c r="G137" s="205"/>
      <c r="H137" s="205"/>
      <c r="I137" s="205"/>
      <c r="J137" s="205"/>
      <c r="K137" s="205"/>
      <c r="L137" s="205"/>
      <c r="M137" s="205"/>
      <c r="N137" s="205"/>
      <c r="O137" s="205"/>
      <c r="P137" s="206"/>
    </row>
    <row r="138" spans="1:26" s="3" customFormat="1" ht="14.1" customHeight="1" x14ac:dyDescent="0.2">
      <c r="B138" s="199"/>
      <c r="C138" s="204"/>
      <c r="D138" s="205"/>
      <c r="E138" s="205"/>
      <c r="F138" s="205"/>
      <c r="G138" s="205"/>
      <c r="H138" s="205"/>
      <c r="I138" s="205"/>
      <c r="J138" s="205"/>
      <c r="K138" s="205"/>
      <c r="L138" s="205"/>
      <c r="M138" s="205"/>
      <c r="N138" s="205"/>
      <c r="O138" s="205"/>
      <c r="P138" s="206"/>
    </row>
    <row r="139" spans="1:26" s="3" customFormat="1" ht="14.1" customHeight="1" thickBot="1" x14ac:dyDescent="0.25">
      <c r="B139" s="200"/>
      <c r="C139" s="207"/>
      <c r="D139" s="208"/>
      <c r="E139" s="208"/>
      <c r="F139" s="208"/>
      <c r="G139" s="208"/>
      <c r="H139" s="208"/>
      <c r="I139" s="208"/>
      <c r="J139" s="208"/>
      <c r="K139" s="208"/>
      <c r="L139" s="208"/>
      <c r="M139" s="208"/>
      <c r="N139" s="208"/>
      <c r="O139" s="208"/>
      <c r="P139" s="209"/>
    </row>
    <row r="140" spans="1:26" s="3" customFormat="1" ht="28.5" customHeight="1" thickBot="1" x14ac:dyDescent="0.25">
      <c r="A140" s="79"/>
      <c r="B140" s="80" t="s">
        <v>76</v>
      </c>
      <c r="C140" s="177" t="s">
        <v>105</v>
      </c>
      <c r="D140" s="177"/>
      <c r="E140" s="177"/>
      <c r="F140" s="177"/>
      <c r="G140" s="177"/>
      <c r="H140" s="178"/>
      <c r="I140" s="179"/>
      <c r="J140" s="80" t="s">
        <v>77</v>
      </c>
      <c r="K140" s="177" t="s">
        <v>78</v>
      </c>
      <c r="L140" s="177"/>
      <c r="M140" s="177"/>
      <c r="N140" s="177"/>
      <c r="O140" s="177"/>
      <c r="P140" s="178"/>
    </row>
    <row r="141" spans="1:26" s="3" customFormat="1" ht="28.5" customHeight="1" thickBot="1" x14ac:dyDescent="0.25">
      <c r="B141" s="81" t="s">
        <v>79</v>
      </c>
      <c r="C141" s="181" t="s">
        <v>80</v>
      </c>
      <c r="D141" s="181"/>
      <c r="E141" s="181"/>
      <c r="F141" s="181"/>
      <c r="G141" s="181"/>
      <c r="H141" s="182"/>
      <c r="I141" s="180"/>
      <c r="J141" s="81" t="s">
        <v>81</v>
      </c>
      <c r="K141" s="181" t="s">
        <v>82</v>
      </c>
      <c r="L141" s="181"/>
      <c r="M141" s="181"/>
      <c r="N141" s="181"/>
      <c r="O141" s="181"/>
      <c r="P141" s="182"/>
    </row>
    <row r="142" spans="1:26" s="19" customFormat="1" ht="13.5" customHeight="1" x14ac:dyDescent="0.25">
      <c r="A142" s="82"/>
      <c r="B142" s="183">
        <f>+B74</f>
        <v>12</v>
      </c>
      <c r="C142" s="186">
        <f>+C69</f>
        <v>4.4499999999999984</v>
      </c>
      <c r="D142" s="188">
        <f>+D69</f>
        <v>0.58799999999999997</v>
      </c>
      <c r="E142" s="188">
        <f>+E74</f>
        <v>0.60199999999999998</v>
      </c>
      <c r="F142" s="83" t="s">
        <v>71</v>
      </c>
      <c r="G142" s="83">
        <v>0.01</v>
      </c>
      <c r="H142" s="84"/>
      <c r="I142" s="85"/>
      <c r="J142" s="86">
        <v>0.109</v>
      </c>
      <c r="K142" s="189">
        <f>+AVERAGE(J142:J152)</f>
        <v>0.15063636363636365</v>
      </c>
      <c r="L142" s="168">
        <f>ROUND(+(D142+D147)/2*(C147-C142),3)</f>
        <v>0.17299999999999999</v>
      </c>
      <c r="M142" s="171">
        <f>ROUND(+K142*L142,4)</f>
        <v>2.6100000000000002E-2</v>
      </c>
      <c r="N142" s="168">
        <f>ROUND(+M142/$M$153*100,2)</f>
        <v>12.02</v>
      </c>
      <c r="O142" s="168"/>
      <c r="P142" s="172"/>
      <c r="Q142" s="87"/>
      <c r="R142" s="87"/>
      <c r="S142" s="87"/>
      <c r="T142" s="87"/>
      <c r="U142" s="87"/>
      <c r="V142" s="87"/>
      <c r="W142" s="87"/>
      <c r="X142" s="87"/>
      <c r="Y142" s="87"/>
      <c r="Z142" s="87"/>
    </row>
    <row r="143" spans="1:26" s="19" customFormat="1" ht="13.5" customHeight="1" x14ac:dyDescent="0.25">
      <c r="A143" s="82"/>
      <c r="B143" s="184"/>
      <c r="C143" s="169"/>
      <c r="D143" s="169"/>
      <c r="E143" s="169"/>
      <c r="F143" s="88" t="s">
        <v>83</v>
      </c>
      <c r="G143" s="89">
        <f>+E142*0.1</f>
        <v>6.0200000000000004E-2</v>
      </c>
      <c r="H143" s="90"/>
      <c r="I143" s="91"/>
      <c r="J143" s="92">
        <v>0.11600000000000001</v>
      </c>
      <c r="K143" s="169"/>
      <c r="L143" s="169"/>
      <c r="M143" s="169"/>
      <c r="N143" s="169"/>
      <c r="O143" s="169"/>
      <c r="P143" s="173"/>
      <c r="Q143" s="87"/>
      <c r="R143" s="87"/>
      <c r="S143" s="87"/>
      <c r="T143" s="87"/>
      <c r="U143" s="87"/>
      <c r="V143" s="87"/>
      <c r="W143" s="87"/>
      <c r="X143" s="87"/>
      <c r="Y143" s="87"/>
      <c r="Z143" s="87"/>
    </row>
    <row r="144" spans="1:26" s="19" customFormat="1" ht="13.5" customHeight="1" x14ac:dyDescent="0.25">
      <c r="A144" s="82"/>
      <c r="B144" s="184"/>
      <c r="C144" s="169"/>
      <c r="D144" s="169"/>
      <c r="E144" s="169"/>
      <c r="F144" s="88" t="s">
        <v>84</v>
      </c>
      <c r="G144" s="89">
        <f>+E142*0.2</f>
        <v>0.12040000000000001</v>
      </c>
      <c r="H144" s="90"/>
      <c r="I144" s="91"/>
      <c r="J144" s="92">
        <v>0.129</v>
      </c>
      <c r="K144" s="169"/>
      <c r="L144" s="169"/>
      <c r="M144" s="169"/>
      <c r="N144" s="169"/>
      <c r="O144" s="169"/>
      <c r="P144" s="173"/>
      <c r="Q144" s="87"/>
      <c r="R144" s="87"/>
      <c r="S144" s="87"/>
      <c r="T144" s="87"/>
      <c r="U144" s="87"/>
      <c r="V144" s="87"/>
      <c r="W144" s="87"/>
      <c r="X144" s="87"/>
      <c r="Y144" s="87"/>
      <c r="Z144" s="87"/>
    </row>
    <row r="145" spans="1:26" s="19" customFormat="1" ht="13.5" customHeight="1" x14ac:dyDescent="0.25">
      <c r="A145" s="82"/>
      <c r="B145" s="184"/>
      <c r="C145" s="169"/>
      <c r="D145" s="169"/>
      <c r="E145" s="169"/>
      <c r="F145" s="88" t="s">
        <v>85</v>
      </c>
      <c r="G145" s="89">
        <f>+E142*0.3</f>
        <v>0.18059999999999998</v>
      </c>
      <c r="H145" s="90"/>
      <c r="I145" s="91"/>
      <c r="J145" s="92">
        <v>0.13900000000000001</v>
      </c>
      <c r="K145" s="169"/>
      <c r="L145" s="169"/>
      <c r="M145" s="169"/>
      <c r="N145" s="169"/>
      <c r="O145" s="169"/>
      <c r="P145" s="173"/>
      <c r="Q145" s="87"/>
      <c r="R145" s="87"/>
      <c r="S145" s="87"/>
      <c r="T145" s="87"/>
      <c r="U145" s="87"/>
      <c r="V145" s="87"/>
      <c r="W145" s="87"/>
      <c r="X145" s="87"/>
      <c r="Y145" s="87"/>
      <c r="Z145" s="87"/>
    </row>
    <row r="146" spans="1:26" s="19" customFormat="1" ht="13.5" customHeight="1" x14ac:dyDescent="0.25">
      <c r="A146" s="82"/>
      <c r="B146" s="184"/>
      <c r="C146" s="187"/>
      <c r="D146" s="187"/>
      <c r="E146" s="169"/>
      <c r="F146" s="88" t="s">
        <v>86</v>
      </c>
      <c r="G146" s="89">
        <f>+E142*0.4</f>
        <v>0.24080000000000001</v>
      </c>
      <c r="H146" s="90"/>
      <c r="I146" s="91"/>
      <c r="J146" s="92">
        <v>0.14599999999999999</v>
      </c>
      <c r="K146" s="169"/>
      <c r="L146" s="169"/>
      <c r="M146" s="169"/>
      <c r="N146" s="169"/>
      <c r="O146" s="169"/>
      <c r="P146" s="173"/>
      <c r="Q146" s="87"/>
      <c r="R146" s="87"/>
      <c r="S146" s="87"/>
      <c r="T146" s="87"/>
      <c r="U146" s="87"/>
      <c r="V146" s="87"/>
      <c r="W146" s="87"/>
      <c r="X146" s="87"/>
      <c r="Y146" s="87"/>
      <c r="Z146" s="87"/>
    </row>
    <row r="147" spans="1:26" s="19" customFormat="1" ht="13.5" customHeight="1" x14ac:dyDescent="0.25">
      <c r="A147" s="82"/>
      <c r="B147" s="184"/>
      <c r="C147" s="175">
        <f>+C74</f>
        <v>4.7499999999999982</v>
      </c>
      <c r="D147" s="176">
        <f>+D74</f>
        <v>0.56200000000000006</v>
      </c>
      <c r="E147" s="169"/>
      <c r="F147" s="88" t="s">
        <v>30</v>
      </c>
      <c r="G147" s="89">
        <f>+E142*0.5</f>
        <v>0.30099999999999999</v>
      </c>
      <c r="H147" s="90"/>
      <c r="I147" s="91"/>
      <c r="J147" s="92">
        <v>0.159</v>
      </c>
      <c r="K147" s="169"/>
      <c r="L147" s="169"/>
      <c r="M147" s="169"/>
      <c r="N147" s="169"/>
      <c r="O147" s="169"/>
      <c r="P147" s="173"/>
      <c r="Q147" s="87"/>
      <c r="R147" s="87"/>
      <c r="S147" s="87"/>
      <c r="T147" s="87"/>
      <c r="U147" s="87"/>
      <c r="V147" s="87"/>
      <c r="W147" s="87"/>
      <c r="X147" s="87"/>
      <c r="Y147" s="87"/>
      <c r="Z147" s="87"/>
    </row>
    <row r="148" spans="1:26" s="19" customFormat="1" ht="13.5" customHeight="1" x14ac:dyDescent="0.25">
      <c r="A148" s="82"/>
      <c r="B148" s="184"/>
      <c r="C148" s="169"/>
      <c r="D148" s="169"/>
      <c r="E148" s="169"/>
      <c r="F148" s="88" t="s">
        <v>87</v>
      </c>
      <c r="G148" s="89">
        <f>+E142*0.6</f>
        <v>0.36119999999999997</v>
      </c>
      <c r="H148" s="90"/>
      <c r="I148" s="91"/>
      <c r="J148" s="92">
        <v>0.14599999999999999</v>
      </c>
      <c r="K148" s="169"/>
      <c r="L148" s="169"/>
      <c r="M148" s="169"/>
      <c r="N148" s="169"/>
      <c r="O148" s="169"/>
      <c r="P148" s="173"/>
      <c r="Q148" s="87"/>
      <c r="R148" s="87"/>
      <c r="S148" s="87"/>
      <c r="T148" s="87"/>
      <c r="U148" s="87"/>
      <c r="V148" s="87"/>
      <c r="W148" s="87"/>
      <c r="X148" s="87"/>
      <c r="Y148" s="87"/>
      <c r="Z148" s="87"/>
    </row>
    <row r="149" spans="1:26" s="19" customFormat="1" ht="13.5" customHeight="1" x14ac:dyDescent="0.25">
      <c r="A149" s="82"/>
      <c r="B149" s="184"/>
      <c r="C149" s="169"/>
      <c r="D149" s="169"/>
      <c r="E149" s="169"/>
      <c r="F149" s="88" t="s">
        <v>88</v>
      </c>
      <c r="G149" s="89">
        <f>+E142*0.7</f>
        <v>0.42139999999999994</v>
      </c>
      <c r="H149" s="90"/>
      <c r="I149" s="91"/>
      <c r="J149" s="92">
        <v>0.17899999999999999</v>
      </c>
      <c r="K149" s="169"/>
      <c r="L149" s="169"/>
      <c r="M149" s="169"/>
      <c r="N149" s="169"/>
      <c r="O149" s="169"/>
      <c r="P149" s="173"/>
      <c r="Q149" s="87"/>
      <c r="R149" s="87"/>
      <c r="S149" s="87"/>
      <c r="T149" s="87"/>
      <c r="U149" s="87"/>
      <c r="V149" s="87"/>
      <c r="W149" s="87"/>
      <c r="X149" s="87"/>
      <c r="Y149" s="87"/>
      <c r="Z149" s="87"/>
    </row>
    <row r="150" spans="1:26" s="19" customFormat="1" ht="13.5" customHeight="1" x14ac:dyDescent="0.25">
      <c r="A150" s="82"/>
      <c r="B150" s="184"/>
      <c r="C150" s="169"/>
      <c r="D150" s="169"/>
      <c r="E150" s="169"/>
      <c r="F150" s="88" t="s">
        <v>89</v>
      </c>
      <c r="G150" s="89">
        <f>+E142*0.8</f>
        <v>0.48160000000000003</v>
      </c>
      <c r="H150" s="90"/>
      <c r="I150" s="91"/>
      <c r="J150" s="92">
        <v>0.184</v>
      </c>
      <c r="K150" s="169"/>
      <c r="L150" s="169"/>
      <c r="M150" s="169"/>
      <c r="N150" s="169"/>
      <c r="O150" s="169"/>
      <c r="P150" s="173"/>
      <c r="Q150" s="87"/>
      <c r="R150" s="87"/>
      <c r="S150" s="87"/>
      <c r="T150" s="87"/>
      <c r="U150" s="87"/>
      <c r="V150" s="87"/>
      <c r="W150" s="87"/>
      <c r="X150" s="87"/>
      <c r="Y150" s="87"/>
      <c r="Z150" s="87"/>
    </row>
    <row r="151" spans="1:26" s="19" customFormat="1" ht="13.5" customHeight="1" x14ac:dyDescent="0.25">
      <c r="A151" s="82"/>
      <c r="B151" s="184"/>
      <c r="C151" s="169"/>
      <c r="D151" s="169"/>
      <c r="E151" s="169"/>
      <c r="F151" s="88" t="s">
        <v>90</v>
      </c>
      <c r="G151" s="89">
        <f>+E142*0.9</f>
        <v>0.54179999999999995</v>
      </c>
      <c r="H151" s="90"/>
      <c r="I151" s="91"/>
      <c r="J151" s="92">
        <v>0.17699999999999999</v>
      </c>
      <c r="K151" s="169"/>
      <c r="L151" s="169"/>
      <c r="M151" s="169"/>
      <c r="N151" s="169"/>
      <c r="O151" s="169"/>
      <c r="P151" s="173"/>
      <c r="Q151" s="87"/>
      <c r="R151" s="87"/>
      <c r="S151" s="87"/>
      <c r="T151" s="87"/>
      <c r="U151" s="87"/>
      <c r="V151" s="87"/>
      <c r="W151" s="87"/>
      <c r="X151" s="87"/>
      <c r="Y151" s="87"/>
      <c r="Z151" s="87"/>
    </row>
    <row r="152" spans="1:26" s="19" customFormat="1" ht="15.75" thickBot="1" x14ac:dyDescent="0.3">
      <c r="A152" s="82"/>
      <c r="B152" s="185"/>
      <c r="C152" s="170"/>
      <c r="D152" s="170"/>
      <c r="E152" s="170"/>
      <c r="F152" s="93" t="s">
        <v>31</v>
      </c>
      <c r="G152" s="93">
        <f>+E142</f>
        <v>0.60199999999999998</v>
      </c>
      <c r="H152" s="94"/>
      <c r="I152" s="95"/>
      <c r="J152" s="96">
        <v>0.17299999999999999</v>
      </c>
      <c r="K152" s="170"/>
      <c r="L152" s="170"/>
      <c r="M152" s="170"/>
      <c r="N152" s="170"/>
      <c r="O152" s="170"/>
      <c r="P152" s="174"/>
      <c r="Q152" s="87"/>
      <c r="R152" s="87"/>
      <c r="S152" s="87"/>
      <c r="T152" s="87"/>
      <c r="U152" s="87"/>
      <c r="V152" s="87"/>
      <c r="W152" s="87"/>
      <c r="X152" s="87"/>
      <c r="Y152" s="87"/>
      <c r="Z152" s="87"/>
    </row>
    <row r="153" spans="1:26" s="3" customFormat="1" ht="12.75" x14ac:dyDescent="0.2">
      <c r="A153" s="11"/>
      <c r="B153" s="156" t="s">
        <v>32</v>
      </c>
      <c r="C153" s="156"/>
      <c r="D153" s="156"/>
      <c r="E153" s="156"/>
      <c r="F153" s="156"/>
      <c r="G153" s="156"/>
      <c r="H153" s="156"/>
      <c r="I153" s="156"/>
      <c r="J153" s="156"/>
      <c r="K153" s="12">
        <f>ROUND(+M153/L153,3)</f>
        <v>8.6999999999999994E-2</v>
      </c>
      <c r="L153" s="16">
        <f>SUM(L19:L152)</f>
        <v>2.5030000000000001</v>
      </c>
      <c r="M153" s="15">
        <f>SUM(M19:M152)</f>
        <v>0.21709999999999996</v>
      </c>
      <c r="N153" s="13">
        <f>ROUND(SUM(N19:N152),0)</f>
        <v>100</v>
      </c>
      <c r="O153" s="158" t="s">
        <v>33</v>
      </c>
      <c r="P153" s="160"/>
    </row>
    <row r="154" spans="1:26" s="3" customFormat="1" ht="15" customHeight="1" thickBot="1" x14ac:dyDescent="0.25">
      <c r="A154" s="11"/>
      <c r="B154" s="157"/>
      <c r="C154" s="157"/>
      <c r="D154" s="157"/>
      <c r="E154" s="157"/>
      <c r="F154" s="157"/>
      <c r="G154" s="157"/>
      <c r="H154" s="157"/>
      <c r="I154" s="157"/>
      <c r="J154" s="157"/>
      <c r="K154" s="14" t="s">
        <v>34</v>
      </c>
      <c r="L154" s="14" t="s">
        <v>50</v>
      </c>
      <c r="M154" s="14" t="s">
        <v>51</v>
      </c>
      <c r="N154" s="14" t="s">
        <v>35</v>
      </c>
      <c r="O154" s="159"/>
      <c r="P154" s="161"/>
    </row>
    <row r="155" spans="1:26" ht="15" customHeight="1" thickBot="1" x14ac:dyDescent="0.3">
      <c r="A155" s="5"/>
      <c r="B155" s="162" t="s">
        <v>91</v>
      </c>
      <c r="C155" s="163"/>
      <c r="D155" s="163"/>
      <c r="E155" s="163"/>
      <c r="F155" s="164"/>
      <c r="G155" s="162" t="s">
        <v>92</v>
      </c>
      <c r="H155" s="163"/>
      <c r="I155" s="163"/>
      <c r="J155" s="163"/>
      <c r="K155" s="164"/>
      <c r="L155" s="165" t="s">
        <v>53</v>
      </c>
      <c r="M155" s="166"/>
      <c r="N155" s="166"/>
      <c r="O155" s="166"/>
      <c r="P155" s="167"/>
    </row>
    <row r="156" spans="1:26" ht="15" customHeight="1" x14ac:dyDescent="0.25">
      <c r="A156" s="5"/>
      <c r="B156" s="126"/>
      <c r="C156" s="127"/>
      <c r="D156" s="127"/>
      <c r="E156" s="127"/>
      <c r="F156" s="128"/>
      <c r="G156" s="126"/>
      <c r="H156" s="127"/>
      <c r="I156" s="127"/>
      <c r="J156" s="127"/>
      <c r="K156" s="128"/>
      <c r="L156" s="135" t="s">
        <v>93</v>
      </c>
      <c r="M156" s="136"/>
      <c r="N156" s="136"/>
      <c r="O156" s="137">
        <f>+AVERAGE(E18:E133)</f>
        <v>0.36221739130434782</v>
      </c>
      <c r="P156" s="138"/>
    </row>
    <row r="157" spans="1:26" ht="15" customHeight="1" thickBot="1" x14ac:dyDescent="0.3">
      <c r="A157" s="5"/>
      <c r="B157" s="129"/>
      <c r="C157" s="130"/>
      <c r="D157" s="130"/>
      <c r="E157" s="130"/>
      <c r="F157" s="131"/>
      <c r="G157" s="129"/>
      <c r="H157" s="130"/>
      <c r="I157" s="130"/>
      <c r="J157" s="130"/>
      <c r="K157" s="131"/>
      <c r="L157" s="139" t="s">
        <v>94</v>
      </c>
      <c r="M157" s="140"/>
      <c r="N157" s="140"/>
      <c r="O157" s="141">
        <f>+MAX(E18:E133)</f>
        <v>0.60199999999999998</v>
      </c>
      <c r="P157" s="142"/>
    </row>
    <row r="158" spans="1:26" ht="18.600000000000001" customHeight="1" x14ac:dyDescent="0.25">
      <c r="A158" s="6"/>
      <c r="B158" s="129"/>
      <c r="C158" s="130"/>
      <c r="D158" s="130"/>
      <c r="E158" s="130"/>
      <c r="F158" s="131"/>
      <c r="G158" s="129"/>
      <c r="H158" s="130"/>
      <c r="I158" s="130"/>
      <c r="J158" s="130"/>
      <c r="K158" s="131"/>
      <c r="L158" s="143"/>
      <c r="M158" s="144"/>
      <c r="N158" s="144"/>
      <c r="O158" s="144"/>
      <c r="P158" s="145"/>
    </row>
    <row r="159" spans="1:26" ht="61.5" customHeight="1" x14ac:dyDescent="0.25">
      <c r="A159" s="10"/>
      <c r="B159" s="129"/>
      <c r="C159" s="130"/>
      <c r="D159" s="130"/>
      <c r="E159" s="130"/>
      <c r="F159" s="131"/>
      <c r="G159" s="129"/>
      <c r="H159" s="130"/>
      <c r="I159" s="130"/>
      <c r="J159" s="130"/>
      <c r="K159" s="131"/>
      <c r="L159" s="146"/>
      <c r="M159" s="147"/>
      <c r="N159" s="147"/>
      <c r="O159" s="147"/>
      <c r="P159" s="148"/>
    </row>
    <row r="160" spans="1:26" ht="15" customHeight="1" thickBot="1" x14ac:dyDescent="0.3">
      <c r="A160" s="5"/>
      <c r="B160" s="129"/>
      <c r="C160" s="130"/>
      <c r="D160" s="130"/>
      <c r="E160" s="130"/>
      <c r="F160" s="131"/>
      <c r="G160" s="129"/>
      <c r="H160" s="130"/>
      <c r="I160" s="130"/>
      <c r="J160" s="130"/>
      <c r="K160" s="131"/>
      <c r="L160" s="149"/>
      <c r="M160" s="150"/>
      <c r="N160" s="150"/>
      <c r="O160" s="150"/>
      <c r="P160" s="151"/>
    </row>
    <row r="161" spans="1:16" ht="22.5" customHeight="1" thickBot="1" x14ac:dyDescent="0.3">
      <c r="A161" s="5"/>
      <c r="B161" s="129"/>
      <c r="C161" s="130"/>
      <c r="D161" s="130"/>
      <c r="E161" s="130"/>
      <c r="F161" s="131"/>
      <c r="G161" s="129"/>
      <c r="H161" s="130"/>
      <c r="I161" s="130"/>
      <c r="J161" s="130"/>
      <c r="K161" s="131"/>
      <c r="L161" s="152" t="s">
        <v>36</v>
      </c>
      <c r="M161" s="153"/>
      <c r="N161" s="153"/>
      <c r="O161" s="153"/>
      <c r="P161" s="97">
        <v>5.58</v>
      </c>
    </row>
    <row r="162" spans="1:16" ht="32.25" customHeight="1" thickBot="1" x14ac:dyDescent="0.3">
      <c r="A162" s="5"/>
      <c r="B162" s="132"/>
      <c r="C162" s="133"/>
      <c r="D162" s="133"/>
      <c r="E162" s="133"/>
      <c r="F162" s="134"/>
      <c r="G162" s="132"/>
      <c r="H162" s="133"/>
      <c r="I162" s="133"/>
      <c r="J162" s="133"/>
      <c r="K162" s="134"/>
      <c r="L162" s="154" t="s">
        <v>52</v>
      </c>
      <c r="M162" s="155"/>
      <c r="N162" s="155"/>
      <c r="O162" s="155"/>
      <c r="P162" s="97">
        <v>0.46710000000000002</v>
      </c>
    </row>
    <row r="163" spans="1:16" ht="23.45" customHeight="1" thickBot="1" x14ac:dyDescent="0.3">
      <c r="A163" s="7"/>
      <c r="B163" s="115"/>
      <c r="C163" s="115"/>
      <c r="D163" s="115"/>
      <c r="E163" s="115"/>
      <c r="F163" s="115"/>
      <c r="G163" s="115"/>
      <c r="H163" s="115"/>
      <c r="I163" s="115"/>
      <c r="J163" s="115"/>
      <c r="K163" s="115"/>
      <c r="L163" s="115"/>
      <c r="M163" s="115"/>
      <c r="N163" s="115"/>
      <c r="O163" s="115"/>
      <c r="P163" s="115"/>
    </row>
    <row r="164" spans="1:16" ht="15.75" thickBot="1" x14ac:dyDescent="0.3">
      <c r="A164" s="116" t="s">
        <v>37</v>
      </c>
      <c r="B164" s="117"/>
      <c r="C164" s="117"/>
      <c r="D164" s="117"/>
      <c r="E164" s="117"/>
      <c r="F164" s="117"/>
      <c r="G164" s="117"/>
      <c r="H164" s="117"/>
      <c r="I164" s="117"/>
      <c r="J164" s="117"/>
      <c r="K164" s="117"/>
      <c r="L164" s="117"/>
      <c r="M164" s="117"/>
      <c r="N164" s="117"/>
      <c r="O164" s="117"/>
      <c r="P164" s="118"/>
    </row>
    <row r="165" spans="1:16" ht="159" customHeight="1" thickBot="1" x14ac:dyDescent="0.3">
      <c r="A165" s="4"/>
      <c r="B165" s="305"/>
      <c r="C165" s="306"/>
      <c r="D165" s="306"/>
      <c r="E165" s="306"/>
      <c r="F165" s="307"/>
      <c r="G165" s="305"/>
      <c r="H165" s="306"/>
      <c r="I165" s="306"/>
      <c r="J165" s="306"/>
      <c r="K165" s="307"/>
      <c r="L165" s="305"/>
      <c r="M165" s="306"/>
      <c r="N165" s="306"/>
      <c r="O165" s="306"/>
      <c r="P165" s="308"/>
    </row>
    <row r="166" spans="1:16" ht="21.75" customHeight="1" thickBot="1" x14ac:dyDescent="0.3">
      <c r="A166" s="4"/>
      <c r="B166" s="122" t="s">
        <v>119</v>
      </c>
      <c r="C166" s="123"/>
      <c r="D166" s="123"/>
      <c r="E166" s="123"/>
      <c r="F166" s="124"/>
      <c r="G166" s="122" t="s">
        <v>120</v>
      </c>
      <c r="H166" s="123"/>
      <c r="I166" s="123"/>
      <c r="J166" s="123"/>
      <c r="K166" s="124"/>
      <c r="L166" s="122" t="s">
        <v>117</v>
      </c>
      <c r="M166" s="123"/>
      <c r="N166" s="123"/>
      <c r="O166" s="123"/>
      <c r="P166" s="125"/>
    </row>
    <row r="167" spans="1:16" s="9" customFormat="1" ht="16.899999999999999" customHeight="1" thickBot="1" x14ac:dyDescent="0.3">
      <c r="A167" s="8"/>
      <c r="B167" s="110"/>
      <c r="C167" s="110"/>
      <c r="D167" s="110"/>
      <c r="E167" s="110"/>
      <c r="F167" s="110"/>
      <c r="G167" s="110"/>
      <c r="H167" s="110"/>
      <c r="I167" s="110"/>
      <c r="J167" s="110"/>
      <c r="K167" s="110"/>
      <c r="L167" s="110"/>
      <c r="M167" s="110"/>
      <c r="N167" s="110"/>
      <c r="O167" s="110"/>
      <c r="P167" s="111"/>
    </row>
    <row r="168" spans="1:16" s="3" customFormat="1" ht="15.75" customHeight="1" thickBot="1" x14ac:dyDescent="0.25">
      <c r="A168" s="112" t="s">
        <v>38</v>
      </c>
      <c r="B168" s="113"/>
      <c r="C168" s="113"/>
      <c r="D168" s="113" t="s">
        <v>106</v>
      </c>
      <c r="E168" s="113"/>
      <c r="F168" s="113"/>
      <c r="G168" s="113"/>
      <c r="H168" s="113"/>
      <c r="I168" s="113"/>
      <c r="J168" s="113" t="s">
        <v>39</v>
      </c>
      <c r="K168" s="113"/>
      <c r="L168" s="113"/>
      <c r="M168" s="113"/>
      <c r="N168" s="113"/>
      <c r="O168" s="113"/>
      <c r="P168" s="114"/>
    </row>
  </sheetData>
  <mergeCells count="335">
    <mergeCell ref="B4:P4"/>
    <mergeCell ref="C5:D5"/>
    <mergeCell ref="H5:P5"/>
    <mergeCell ref="B2:D3"/>
    <mergeCell ref="E2:N3"/>
    <mergeCell ref="O2:P3"/>
    <mergeCell ref="B6:C6"/>
    <mergeCell ref="D6:I6"/>
    <mergeCell ref="K6:L6"/>
    <mergeCell ref="M6:N6"/>
    <mergeCell ref="B7:B8"/>
    <mergeCell ref="C7:D7"/>
    <mergeCell ref="F7:I7"/>
    <mergeCell ref="J7:M7"/>
    <mergeCell ref="N7:O7"/>
    <mergeCell ref="C8:D8"/>
    <mergeCell ref="F8:I8"/>
    <mergeCell ref="J8:M8"/>
    <mergeCell ref="N8:O8"/>
    <mergeCell ref="B9:B12"/>
    <mergeCell ref="C9:C10"/>
    <mergeCell ref="D9:E9"/>
    <mergeCell ref="G9:G10"/>
    <mergeCell ref="H9:I9"/>
    <mergeCell ref="K9:K10"/>
    <mergeCell ref="L9:P10"/>
    <mergeCell ref="O11:P11"/>
    <mergeCell ref="C12:D12"/>
    <mergeCell ref="F12:G12"/>
    <mergeCell ref="I12:J12"/>
    <mergeCell ref="L12:M12"/>
    <mergeCell ref="O12:P12"/>
    <mergeCell ref="D10:E10"/>
    <mergeCell ref="H10:I10"/>
    <mergeCell ref="C11:D11"/>
    <mergeCell ref="F11:G11"/>
    <mergeCell ref="I11:J11"/>
    <mergeCell ref="L11:M11"/>
    <mergeCell ref="F15:I15"/>
    <mergeCell ref="J15:M15"/>
    <mergeCell ref="N15:P15"/>
    <mergeCell ref="B16:B17"/>
    <mergeCell ref="C16:C17"/>
    <mergeCell ref="D16:D17"/>
    <mergeCell ref="E16:E17"/>
    <mergeCell ref="F16:G17"/>
    <mergeCell ref="H16:H17"/>
    <mergeCell ref="I16:I17"/>
    <mergeCell ref="B13:B15"/>
    <mergeCell ref="C13:E13"/>
    <mergeCell ref="F13:I13"/>
    <mergeCell ref="J13:M13"/>
    <mergeCell ref="N13:P13"/>
    <mergeCell ref="C14:E14"/>
    <mergeCell ref="F14:I14"/>
    <mergeCell ref="J14:M14"/>
    <mergeCell ref="N14:P14"/>
    <mergeCell ref="C15:E15"/>
    <mergeCell ref="M19:M23"/>
    <mergeCell ref="N19:N23"/>
    <mergeCell ref="O19:O23"/>
    <mergeCell ref="P19:P23"/>
    <mergeCell ref="B24:B28"/>
    <mergeCell ref="C24:C28"/>
    <mergeCell ref="D24:D28"/>
    <mergeCell ref="E24:E28"/>
    <mergeCell ref="K24:K28"/>
    <mergeCell ref="L24:L28"/>
    <mergeCell ref="B19:B23"/>
    <mergeCell ref="C19:C23"/>
    <mergeCell ref="D19:D23"/>
    <mergeCell ref="E19:E23"/>
    <mergeCell ref="K19:K23"/>
    <mergeCell ref="L19:L23"/>
    <mergeCell ref="M24:M28"/>
    <mergeCell ref="N24:N28"/>
    <mergeCell ref="O24:O28"/>
    <mergeCell ref="P24:P28"/>
    <mergeCell ref="B29:B33"/>
    <mergeCell ref="C29:C33"/>
    <mergeCell ref="D29:D33"/>
    <mergeCell ref="E29:E33"/>
    <mergeCell ref="K29:K33"/>
    <mergeCell ref="L29:L33"/>
    <mergeCell ref="M29:M33"/>
    <mergeCell ref="N29:N33"/>
    <mergeCell ref="O29:O33"/>
    <mergeCell ref="P29:P33"/>
    <mergeCell ref="B34:B38"/>
    <mergeCell ref="C34:C38"/>
    <mergeCell ref="D34:D38"/>
    <mergeCell ref="E34:E38"/>
    <mergeCell ref="K34:K38"/>
    <mergeCell ref="L34:L38"/>
    <mergeCell ref="M34:M38"/>
    <mergeCell ref="N34:N38"/>
    <mergeCell ref="O34:O38"/>
    <mergeCell ref="P34:P38"/>
    <mergeCell ref="B39:B43"/>
    <mergeCell ref="C39:C43"/>
    <mergeCell ref="D39:D43"/>
    <mergeCell ref="E39:E43"/>
    <mergeCell ref="K39:K43"/>
    <mergeCell ref="L39:L43"/>
    <mergeCell ref="M39:M43"/>
    <mergeCell ref="N39:N43"/>
    <mergeCell ref="O39:O43"/>
    <mergeCell ref="P39:P43"/>
    <mergeCell ref="B44:B48"/>
    <mergeCell ref="C44:C48"/>
    <mergeCell ref="D44:D48"/>
    <mergeCell ref="E44:E48"/>
    <mergeCell ref="K44:K48"/>
    <mergeCell ref="L44:L48"/>
    <mergeCell ref="M44:M48"/>
    <mergeCell ref="N44:N48"/>
    <mergeCell ref="O44:O48"/>
    <mergeCell ref="P44:P48"/>
    <mergeCell ref="B49:B53"/>
    <mergeCell ref="C49:C53"/>
    <mergeCell ref="D49:D53"/>
    <mergeCell ref="E49:E53"/>
    <mergeCell ref="K49:K53"/>
    <mergeCell ref="L49:L53"/>
    <mergeCell ref="M49:M53"/>
    <mergeCell ref="N49:N53"/>
    <mergeCell ref="O49:O53"/>
    <mergeCell ref="P49:P53"/>
    <mergeCell ref="B54:B58"/>
    <mergeCell ref="C54:C58"/>
    <mergeCell ref="D54:D58"/>
    <mergeCell ref="E54:E58"/>
    <mergeCell ref="K54:K58"/>
    <mergeCell ref="L54:L58"/>
    <mergeCell ref="M54:M58"/>
    <mergeCell ref="N54:N58"/>
    <mergeCell ref="O54:O58"/>
    <mergeCell ref="P54:P58"/>
    <mergeCell ref="B59:B63"/>
    <mergeCell ref="C59:C63"/>
    <mergeCell ref="D59:D63"/>
    <mergeCell ref="E59:E63"/>
    <mergeCell ref="K59:K63"/>
    <mergeCell ref="L59:L63"/>
    <mergeCell ref="M59:M63"/>
    <mergeCell ref="N59:N63"/>
    <mergeCell ref="O59:O63"/>
    <mergeCell ref="P59:P63"/>
    <mergeCell ref="B64:B68"/>
    <mergeCell ref="C64:C68"/>
    <mergeCell ref="D64:D68"/>
    <mergeCell ref="E64:E68"/>
    <mergeCell ref="K64:K68"/>
    <mergeCell ref="L64:L68"/>
    <mergeCell ref="M64:M68"/>
    <mergeCell ref="N64:N68"/>
    <mergeCell ref="O64:O68"/>
    <mergeCell ref="P64:P68"/>
    <mergeCell ref="B69:B73"/>
    <mergeCell ref="C69:C73"/>
    <mergeCell ref="D69:D73"/>
    <mergeCell ref="E69:E73"/>
    <mergeCell ref="K69:K73"/>
    <mergeCell ref="L69:L73"/>
    <mergeCell ref="M69:M73"/>
    <mergeCell ref="N69:N73"/>
    <mergeCell ref="O69:O73"/>
    <mergeCell ref="P69:P73"/>
    <mergeCell ref="B74:B78"/>
    <mergeCell ref="C74:C78"/>
    <mergeCell ref="D74:D78"/>
    <mergeCell ref="E74:E78"/>
    <mergeCell ref="K74:K78"/>
    <mergeCell ref="L74:L78"/>
    <mergeCell ref="M74:M78"/>
    <mergeCell ref="N74:N78"/>
    <mergeCell ref="O74:O78"/>
    <mergeCell ref="P74:P78"/>
    <mergeCell ref="B79:B83"/>
    <mergeCell ref="C79:C83"/>
    <mergeCell ref="D79:D83"/>
    <mergeCell ref="E79:E83"/>
    <mergeCell ref="K79:K83"/>
    <mergeCell ref="L79:L83"/>
    <mergeCell ref="M79:M83"/>
    <mergeCell ref="N79:N83"/>
    <mergeCell ref="O79:O83"/>
    <mergeCell ref="P79:P83"/>
    <mergeCell ref="B84:B88"/>
    <mergeCell ref="C84:C88"/>
    <mergeCell ref="D84:D88"/>
    <mergeCell ref="E84:E88"/>
    <mergeCell ref="K84:K88"/>
    <mergeCell ref="L84:L88"/>
    <mergeCell ref="M84:M88"/>
    <mergeCell ref="N84:N88"/>
    <mergeCell ref="O84:O88"/>
    <mergeCell ref="P84:P88"/>
    <mergeCell ref="B89:B93"/>
    <mergeCell ref="C89:C93"/>
    <mergeCell ref="D89:D93"/>
    <mergeCell ref="E89:E93"/>
    <mergeCell ref="K89:K93"/>
    <mergeCell ref="L89:L93"/>
    <mergeCell ref="M89:M93"/>
    <mergeCell ref="N89:N93"/>
    <mergeCell ref="O89:O93"/>
    <mergeCell ref="P89:P93"/>
    <mergeCell ref="B94:B98"/>
    <mergeCell ref="C94:C98"/>
    <mergeCell ref="D94:D98"/>
    <mergeCell ref="E94:E98"/>
    <mergeCell ref="K94:K98"/>
    <mergeCell ref="L94:L98"/>
    <mergeCell ref="M94:M98"/>
    <mergeCell ref="N94:N98"/>
    <mergeCell ref="O94:O98"/>
    <mergeCell ref="P94:P98"/>
    <mergeCell ref="B99:B103"/>
    <mergeCell ref="C99:C103"/>
    <mergeCell ref="D99:D103"/>
    <mergeCell ref="E99:E103"/>
    <mergeCell ref="K99:K103"/>
    <mergeCell ref="L99:L103"/>
    <mergeCell ref="M99:M103"/>
    <mergeCell ref="N99:N103"/>
    <mergeCell ref="O99:O103"/>
    <mergeCell ref="P99:P103"/>
    <mergeCell ref="B104:B108"/>
    <mergeCell ref="C104:C108"/>
    <mergeCell ref="D104:D108"/>
    <mergeCell ref="E104:E108"/>
    <mergeCell ref="K104:K108"/>
    <mergeCell ref="L104:L108"/>
    <mergeCell ref="M104:M108"/>
    <mergeCell ref="N104:N108"/>
    <mergeCell ref="O104:O108"/>
    <mergeCell ref="P104:P108"/>
    <mergeCell ref="B109:B113"/>
    <mergeCell ref="C109:C113"/>
    <mergeCell ref="D109:D113"/>
    <mergeCell ref="E109:E113"/>
    <mergeCell ref="K109:K113"/>
    <mergeCell ref="L109:L113"/>
    <mergeCell ref="M109:M113"/>
    <mergeCell ref="N109:N113"/>
    <mergeCell ref="O109:O113"/>
    <mergeCell ref="P109:P113"/>
    <mergeCell ref="B114:B118"/>
    <mergeCell ref="C114:C118"/>
    <mergeCell ref="D114:D118"/>
    <mergeCell ref="E114:E118"/>
    <mergeCell ref="K114:K118"/>
    <mergeCell ref="L114:L118"/>
    <mergeCell ref="M114:M118"/>
    <mergeCell ref="N114:N118"/>
    <mergeCell ref="O114:O118"/>
    <mergeCell ref="P114:P118"/>
    <mergeCell ref="B119:B123"/>
    <mergeCell ref="C119:C123"/>
    <mergeCell ref="D119:D123"/>
    <mergeCell ref="E119:E123"/>
    <mergeCell ref="K119:K123"/>
    <mergeCell ref="L119:L123"/>
    <mergeCell ref="M119:M123"/>
    <mergeCell ref="N119:N123"/>
    <mergeCell ref="O119:O123"/>
    <mergeCell ref="P119:P123"/>
    <mergeCell ref="B124:B128"/>
    <mergeCell ref="C124:C128"/>
    <mergeCell ref="D124:D128"/>
    <mergeCell ref="E124:E128"/>
    <mergeCell ref="K124:K128"/>
    <mergeCell ref="L124:L128"/>
    <mergeCell ref="M129:M133"/>
    <mergeCell ref="N129:N133"/>
    <mergeCell ref="O129:O133"/>
    <mergeCell ref="P129:P133"/>
    <mergeCell ref="B134:B139"/>
    <mergeCell ref="C134:P139"/>
    <mergeCell ref="M124:M128"/>
    <mergeCell ref="N124:N128"/>
    <mergeCell ref="O124:O128"/>
    <mergeCell ref="P124:P128"/>
    <mergeCell ref="B129:B133"/>
    <mergeCell ref="C129:C133"/>
    <mergeCell ref="D129:D133"/>
    <mergeCell ref="E129:E133"/>
    <mergeCell ref="K129:K133"/>
    <mergeCell ref="L129:L133"/>
    <mergeCell ref="C140:H140"/>
    <mergeCell ref="I140:I141"/>
    <mergeCell ref="K140:P140"/>
    <mergeCell ref="C141:H141"/>
    <mergeCell ref="K141:P141"/>
    <mergeCell ref="B142:B152"/>
    <mergeCell ref="C142:C146"/>
    <mergeCell ref="D142:D146"/>
    <mergeCell ref="E142:E152"/>
    <mergeCell ref="K142:K152"/>
    <mergeCell ref="B153:J154"/>
    <mergeCell ref="O153:O154"/>
    <mergeCell ref="P153:P154"/>
    <mergeCell ref="B155:F155"/>
    <mergeCell ref="G155:K155"/>
    <mergeCell ref="L155:P155"/>
    <mergeCell ref="L142:L152"/>
    <mergeCell ref="M142:M152"/>
    <mergeCell ref="N142:N152"/>
    <mergeCell ref="O142:O152"/>
    <mergeCell ref="P142:P152"/>
    <mergeCell ref="C147:C152"/>
    <mergeCell ref="D147:D152"/>
    <mergeCell ref="B156:F162"/>
    <mergeCell ref="G156:K162"/>
    <mergeCell ref="L156:N156"/>
    <mergeCell ref="O156:P156"/>
    <mergeCell ref="L157:N157"/>
    <mergeCell ref="O157:P157"/>
    <mergeCell ref="L158:P160"/>
    <mergeCell ref="L161:O161"/>
    <mergeCell ref="L162:O162"/>
    <mergeCell ref="B167:P167"/>
    <mergeCell ref="A168:C168"/>
    <mergeCell ref="D168:I168"/>
    <mergeCell ref="J168:K168"/>
    <mergeCell ref="L168:P168"/>
    <mergeCell ref="B163:P163"/>
    <mergeCell ref="A164:P164"/>
    <mergeCell ref="B165:F165"/>
    <mergeCell ref="G165:K165"/>
    <mergeCell ref="L165:P165"/>
    <mergeCell ref="B166:F166"/>
    <mergeCell ref="G166:K166"/>
    <mergeCell ref="L166:P166"/>
  </mergeCells>
  <printOptions horizontalCentered="1"/>
  <pageMargins left="0.35433070866141736" right="0.23622047244094491" top="0.74803149606299213" bottom="0.74803149606299213" header="0.19685039370078741" footer="0.31496062992125984"/>
  <pageSetup scale="63" fitToHeight="0" orientation="portrait" r:id="rId1"/>
  <headerFooter>
    <oddHeader>&amp;C&amp;"-,Negrita Cursiva"&amp;12Protocolo integrado de aforo en ríos de montaña Universidad Nacional de Colombia-Sede Manizales</oddHeader>
  </headerFooter>
  <drawing r:id="rId2"/>
  <picture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128"/>
  <sheetViews>
    <sheetView view="pageBreakPreview" zoomScaleSheetLayoutView="100" zoomScalePageLayoutView="110" workbookViewId="0">
      <selection activeCell="H5" sqref="H5:P5"/>
    </sheetView>
  </sheetViews>
  <sheetFormatPr baseColWidth="10" defaultColWidth="11.42578125" defaultRowHeight="15" x14ac:dyDescent="0.25"/>
  <cols>
    <col min="1" max="1" width="0.140625" customWidth="1"/>
    <col min="2" max="2" width="9.5703125" customWidth="1"/>
    <col min="3" max="16" width="10.7109375" customWidth="1"/>
  </cols>
  <sheetData>
    <row r="1" spans="1:26" ht="4.9000000000000004" customHeight="1" thickBot="1" x14ac:dyDescent="0.3">
      <c r="J1" s="17"/>
    </row>
    <row r="2" spans="1:26" s="2" customFormat="1" ht="30" customHeight="1" x14ac:dyDescent="0.25">
      <c r="A2" s="315"/>
      <c r="B2" s="316"/>
      <c r="C2" s="317"/>
      <c r="D2" s="318"/>
      <c r="E2" s="319" t="s">
        <v>123</v>
      </c>
      <c r="F2" s="320"/>
      <c r="G2" s="320"/>
      <c r="H2" s="320"/>
      <c r="I2" s="320"/>
      <c r="J2" s="320"/>
      <c r="K2" s="320"/>
      <c r="L2" s="320"/>
      <c r="M2" s="320"/>
      <c r="N2" s="320"/>
      <c r="O2" s="321"/>
      <c r="P2" s="322"/>
    </row>
    <row r="3" spans="1:26" s="2" customFormat="1" ht="27.75" customHeight="1" thickBot="1" x14ac:dyDescent="0.3">
      <c r="A3" s="315"/>
      <c r="B3" s="323"/>
      <c r="C3" s="324"/>
      <c r="D3" s="325"/>
      <c r="E3" s="326"/>
      <c r="F3" s="327"/>
      <c r="G3" s="327"/>
      <c r="H3" s="327"/>
      <c r="I3" s="327"/>
      <c r="J3" s="327"/>
      <c r="K3" s="327"/>
      <c r="L3" s="327"/>
      <c r="M3" s="327"/>
      <c r="N3" s="327"/>
      <c r="O3" s="328"/>
      <c r="P3" s="329"/>
    </row>
    <row r="4" spans="1:26" s="19" customFormat="1" ht="11.25" customHeight="1" thickBot="1" x14ac:dyDescent="0.3">
      <c r="A4" s="18"/>
      <c r="B4" s="296"/>
      <c r="C4" s="225"/>
      <c r="D4" s="225"/>
      <c r="E4" s="225"/>
      <c r="F4" s="225"/>
      <c r="G4" s="225"/>
      <c r="H4" s="225"/>
      <c r="I4" s="225"/>
      <c r="J4" s="225"/>
      <c r="K4" s="225"/>
      <c r="L4" s="225"/>
      <c r="M4" s="225"/>
      <c r="N4" s="225"/>
      <c r="O4" s="225"/>
      <c r="P4" s="225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s="26" customFormat="1" ht="31.5" customHeight="1" thickBot="1" x14ac:dyDescent="0.3">
      <c r="A5" s="20"/>
      <c r="B5" s="21" t="s">
        <v>0</v>
      </c>
      <c r="C5" s="297">
        <v>43155</v>
      </c>
      <c r="D5" s="298"/>
      <c r="E5" s="22" t="s">
        <v>1</v>
      </c>
      <c r="F5" s="23">
        <v>4</v>
      </c>
      <c r="G5" s="24" t="s">
        <v>2</v>
      </c>
      <c r="H5" s="299" t="s">
        <v>124</v>
      </c>
      <c r="I5" s="300"/>
      <c r="J5" s="300"/>
      <c r="K5" s="300"/>
      <c r="L5" s="300"/>
      <c r="M5" s="300"/>
      <c r="N5" s="300"/>
      <c r="O5" s="300"/>
      <c r="P5" s="301"/>
      <c r="Q5" s="25"/>
      <c r="R5" s="25"/>
      <c r="S5" s="25"/>
      <c r="T5" s="25"/>
      <c r="U5" s="25"/>
      <c r="V5" s="25"/>
      <c r="W5" s="25"/>
      <c r="X5" s="25"/>
      <c r="Y5" s="25"/>
      <c r="Z5" s="25"/>
    </row>
    <row r="6" spans="1:26" s="31" customFormat="1" ht="21.75" customHeight="1" thickBot="1" x14ac:dyDescent="0.3">
      <c r="A6" s="27"/>
      <c r="B6" s="280" t="s">
        <v>3</v>
      </c>
      <c r="C6" s="281"/>
      <c r="D6" s="282" t="s">
        <v>121</v>
      </c>
      <c r="E6" s="283"/>
      <c r="F6" s="283"/>
      <c r="G6" s="283"/>
      <c r="H6" s="283"/>
      <c r="I6" s="284"/>
      <c r="J6" s="28" t="s">
        <v>4</v>
      </c>
      <c r="K6" s="285" t="s">
        <v>110</v>
      </c>
      <c r="L6" s="284"/>
      <c r="M6" s="285" t="s">
        <v>111</v>
      </c>
      <c r="N6" s="286"/>
      <c r="O6" s="29" t="s">
        <v>55</v>
      </c>
      <c r="P6" s="30">
        <v>1788</v>
      </c>
    </row>
    <row r="7" spans="1:26" s="26" customFormat="1" ht="21.75" customHeight="1" x14ac:dyDescent="0.25">
      <c r="B7" s="287" t="s">
        <v>56</v>
      </c>
      <c r="C7" s="288" t="s">
        <v>57</v>
      </c>
      <c r="D7" s="258"/>
      <c r="E7" s="32"/>
      <c r="F7" s="289" t="s">
        <v>58</v>
      </c>
      <c r="G7" s="290"/>
      <c r="H7" s="290"/>
      <c r="I7" s="290"/>
      <c r="J7" s="291" t="s">
        <v>59</v>
      </c>
      <c r="K7" s="292"/>
      <c r="L7" s="292"/>
      <c r="M7" s="293"/>
      <c r="N7" s="294" t="s">
        <v>95</v>
      </c>
      <c r="O7" s="295"/>
      <c r="P7" s="33" t="s">
        <v>60</v>
      </c>
    </row>
    <row r="8" spans="1:26" s="26" customFormat="1" ht="21.75" customHeight="1" thickBot="1" x14ac:dyDescent="0.3">
      <c r="B8" s="232"/>
      <c r="C8" s="249" t="s">
        <v>61</v>
      </c>
      <c r="D8" s="248"/>
      <c r="E8" s="34" t="s">
        <v>5</v>
      </c>
      <c r="F8" s="259" t="s">
        <v>6</v>
      </c>
      <c r="G8" s="260"/>
      <c r="H8" s="260"/>
      <c r="I8" s="260"/>
      <c r="J8" s="261"/>
      <c r="K8" s="262"/>
      <c r="L8" s="262"/>
      <c r="M8" s="263"/>
      <c r="N8" s="264"/>
      <c r="O8" s="265"/>
      <c r="P8" s="35"/>
    </row>
    <row r="9" spans="1:26" s="26" customFormat="1" ht="21.75" customHeight="1" x14ac:dyDescent="0.25">
      <c r="B9" s="266" t="s">
        <v>7</v>
      </c>
      <c r="C9" s="269" t="s">
        <v>62</v>
      </c>
      <c r="D9" s="270" t="s">
        <v>63</v>
      </c>
      <c r="E9" s="255"/>
      <c r="F9" s="36"/>
      <c r="G9" s="271" t="s">
        <v>8</v>
      </c>
      <c r="H9" s="272" t="s">
        <v>9</v>
      </c>
      <c r="I9" s="258"/>
      <c r="J9" s="37"/>
      <c r="K9" s="269" t="s">
        <v>64</v>
      </c>
      <c r="L9" s="273" t="s">
        <v>122</v>
      </c>
      <c r="M9" s="274"/>
      <c r="N9" s="275"/>
      <c r="O9" s="275"/>
      <c r="P9" s="276"/>
    </row>
    <row r="10" spans="1:26" s="26" customFormat="1" ht="21.75" customHeight="1" thickBot="1" x14ac:dyDescent="0.3">
      <c r="B10" s="267"/>
      <c r="C10" s="212"/>
      <c r="D10" s="253" t="s">
        <v>66</v>
      </c>
      <c r="E10" s="248"/>
      <c r="F10" s="38" t="s">
        <v>5</v>
      </c>
      <c r="G10" s="212"/>
      <c r="H10" s="253" t="s">
        <v>10</v>
      </c>
      <c r="I10" s="248"/>
      <c r="J10" s="39" t="s">
        <v>5</v>
      </c>
      <c r="K10" s="212"/>
      <c r="L10" s="277"/>
      <c r="M10" s="278"/>
      <c r="N10" s="278"/>
      <c r="O10" s="278"/>
      <c r="P10" s="279"/>
    </row>
    <row r="11" spans="1:26" s="26" customFormat="1" ht="21.75" customHeight="1" x14ac:dyDescent="0.25">
      <c r="A11" s="20"/>
      <c r="B11" s="267"/>
      <c r="C11" s="254" t="s">
        <v>11</v>
      </c>
      <c r="D11" s="255"/>
      <c r="E11" s="40">
        <v>0.5625</v>
      </c>
      <c r="F11" s="256" t="s">
        <v>12</v>
      </c>
      <c r="G11" s="255"/>
      <c r="H11" s="41">
        <v>0.85</v>
      </c>
      <c r="I11" s="257" t="s">
        <v>13</v>
      </c>
      <c r="J11" s="258"/>
      <c r="K11" s="41">
        <v>19</v>
      </c>
      <c r="L11" s="254" t="s">
        <v>14</v>
      </c>
      <c r="M11" s="255"/>
      <c r="N11" s="42">
        <v>6.1</v>
      </c>
      <c r="O11" s="245" t="s">
        <v>67</v>
      </c>
      <c r="P11" s="246"/>
    </row>
    <row r="12" spans="1:26" s="26" customFormat="1" ht="21.75" customHeight="1" thickBot="1" x14ac:dyDescent="0.3">
      <c r="A12" s="20"/>
      <c r="B12" s="268"/>
      <c r="C12" s="247" t="s">
        <v>15</v>
      </c>
      <c r="D12" s="248"/>
      <c r="E12" s="40">
        <v>0.60416666666666663</v>
      </c>
      <c r="F12" s="249" t="s">
        <v>16</v>
      </c>
      <c r="G12" s="248"/>
      <c r="H12" s="41">
        <v>0.86499999999999999</v>
      </c>
      <c r="I12" s="250" t="s">
        <v>17</v>
      </c>
      <c r="J12" s="248"/>
      <c r="K12" s="40">
        <v>0.52777777777777779</v>
      </c>
      <c r="L12" s="247" t="s">
        <v>18</v>
      </c>
      <c r="M12" s="248"/>
      <c r="N12" s="43">
        <v>0.4</v>
      </c>
      <c r="O12" s="251">
        <v>2.1</v>
      </c>
      <c r="P12" s="252"/>
    </row>
    <row r="13" spans="1:26" s="26" customFormat="1" ht="21.75" customHeight="1" x14ac:dyDescent="0.25">
      <c r="A13" s="20"/>
      <c r="B13" s="230" t="s">
        <v>19</v>
      </c>
      <c r="C13" s="233" t="s">
        <v>96</v>
      </c>
      <c r="D13" s="234"/>
      <c r="E13" s="234"/>
      <c r="F13" s="235" t="s">
        <v>97</v>
      </c>
      <c r="G13" s="234"/>
      <c r="H13" s="234"/>
      <c r="I13" s="234"/>
      <c r="J13" s="235" t="s">
        <v>98</v>
      </c>
      <c r="K13" s="234"/>
      <c r="L13" s="234"/>
      <c r="M13" s="234"/>
      <c r="N13" s="236" t="s">
        <v>99</v>
      </c>
      <c r="O13" s="234"/>
      <c r="P13" s="237"/>
      <c r="Q13" s="44"/>
      <c r="R13" s="25"/>
      <c r="S13" s="25"/>
      <c r="T13" s="25"/>
      <c r="U13" s="25"/>
      <c r="V13" s="25"/>
      <c r="W13" s="25"/>
      <c r="X13" s="25"/>
      <c r="Y13" s="25"/>
      <c r="Z13" s="25"/>
    </row>
    <row r="14" spans="1:26" s="26" customFormat="1" ht="21.75" customHeight="1" x14ac:dyDescent="0.25">
      <c r="A14" s="20"/>
      <c r="B14" s="231"/>
      <c r="C14" s="238" t="s">
        <v>100</v>
      </c>
      <c r="D14" s="239"/>
      <c r="E14" s="239"/>
      <c r="F14" s="240" t="s">
        <v>101</v>
      </c>
      <c r="G14" s="239"/>
      <c r="H14" s="239"/>
      <c r="I14" s="239"/>
      <c r="J14" s="241" t="s">
        <v>102</v>
      </c>
      <c r="K14" s="239"/>
      <c r="L14" s="239"/>
      <c r="M14" s="239"/>
      <c r="N14" s="242"/>
      <c r="O14" s="227"/>
      <c r="P14" s="243"/>
      <c r="Q14" s="25"/>
      <c r="R14" s="25"/>
      <c r="S14" s="25"/>
      <c r="T14" s="25"/>
      <c r="U14" s="25"/>
      <c r="V14" s="25"/>
      <c r="W14" s="25"/>
      <c r="X14" s="25"/>
      <c r="Y14" s="25"/>
      <c r="Z14" s="25"/>
    </row>
    <row r="15" spans="1:26" s="26" customFormat="1" ht="21.75" customHeight="1" thickBot="1" x14ac:dyDescent="0.3">
      <c r="A15" s="20"/>
      <c r="B15" s="232"/>
      <c r="C15" s="244" t="s">
        <v>103</v>
      </c>
      <c r="D15" s="214"/>
      <c r="E15" s="214"/>
      <c r="F15" s="214" t="s">
        <v>104</v>
      </c>
      <c r="G15" s="215"/>
      <c r="H15" s="215"/>
      <c r="I15" s="215"/>
      <c r="J15" s="214" t="s">
        <v>68</v>
      </c>
      <c r="K15" s="215"/>
      <c r="L15" s="215"/>
      <c r="M15" s="215"/>
      <c r="N15" s="216"/>
      <c r="O15" s="217"/>
      <c r="P15" s="218"/>
      <c r="Q15" s="25"/>
      <c r="R15" s="25"/>
      <c r="S15" s="25"/>
      <c r="T15" s="25"/>
      <c r="U15" s="25"/>
      <c r="V15" s="25"/>
      <c r="W15" s="25"/>
      <c r="X15" s="25"/>
      <c r="Y15" s="25"/>
      <c r="Z15" s="25"/>
    </row>
    <row r="16" spans="1:26" s="26" customFormat="1" ht="21.75" customHeight="1" x14ac:dyDescent="0.25">
      <c r="A16" s="20"/>
      <c r="B16" s="219" t="s">
        <v>20</v>
      </c>
      <c r="C16" s="221" t="s">
        <v>21</v>
      </c>
      <c r="D16" s="221" t="s">
        <v>42</v>
      </c>
      <c r="E16" s="223" t="s">
        <v>22</v>
      </c>
      <c r="F16" s="224" t="s">
        <v>43</v>
      </c>
      <c r="G16" s="225"/>
      <c r="H16" s="221" t="s">
        <v>69</v>
      </c>
      <c r="I16" s="228" t="s">
        <v>70</v>
      </c>
      <c r="J16" s="45" t="s">
        <v>44</v>
      </c>
      <c r="K16" s="46"/>
      <c r="L16" s="47" t="s">
        <v>45</v>
      </c>
      <c r="M16" s="47" t="s">
        <v>46</v>
      </c>
      <c r="N16" s="47" t="s">
        <v>46</v>
      </c>
      <c r="O16" s="47" t="s">
        <v>47</v>
      </c>
      <c r="P16" s="48" t="s">
        <v>23</v>
      </c>
    </row>
    <row r="17" spans="1:26" s="26" customFormat="1" ht="21.75" customHeight="1" thickBot="1" x14ac:dyDescent="0.3">
      <c r="A17" s="49"/>
      <c r="B17" s="220"/>
      <c r="C17" s="222"/>
      <c r="D17" s="222"/>
      <c r="E17" s="222"/>
      <c r="F17" s="226"/>
      <c r="G17" s="227"/>
      <c r="H17" s="222"/>
      <c r="I17" s="229"/>
      <c r="J17" s="50" t="s">
        <v>24</v>
      </c>
      <c r="K17" s="51" t="s">
        <v>25</v>
      </c>
      <c r="L17" s="51" t="s">
        <v>48</v>
      </c>
      <c r="M17" s="51" t="s">
        <v>49</v>
      </c>
      <c r="N17" s="51" t="s">
        <v>26</v>
      </c>
      <c r="O17" s="51" t="s">
        <v>27</v>
      </c>
      <c r="P17" s="52" t="s">
        <v>28</v>
      </c>
    </row>
    <row r="18" spans="1:26" s="61" customFormat="1" ht="21.75" customHeight="1" thickBot="1" x14ac:dyDescent="0.3">
      <c r="A18" s="53"/>
      <c r="B18" s="54"/>
      <c r="C18" s="55">
        <f>+O12</f>
        <v>2.1</v>
      </c>
      <c r="D18" s="55">
        <v>0</v>
      </c>
      <c r="E18" s="56"/>
      <c r="F18" s="57"/>
      <c r="G18" s="62"/>
      <c r="H18" s="58"/>
      <c r="I18" s="59"/>
      <c r="J18" s="63"/>
      <c r="K18" s="56"/>
      <c r="L18" s="56"/>
      <c r="M18" s="56"/>
      <c r="N18" s="56"/>
      <c r="O18" s="56"/>
      <c r="P18" s="60"/>
      <c r="Q18" s="53"/>
      <c r="R18" s="53"/>
      <c r="S18" s="53"/>
      <c r="T18" s="53"/>
      <c r="U18" s="53"/>
      <c r="V18" s="53"/>
      <c r="W18" s="53"/>
      <c r="X18" s="53"/>
      <c r="Y18" s="53"/>
      <c r="Z18" s="53"/>
    </row>
    <row r="19" spans="1:26" s="61" customFormat="1" ht="13.5" customHeight="1" x14ac:dyDescent="0.25">
      <c r="A19" s="53"/>
      <c r="B19" s="210">
        <v>1</v>
      </c>
      <c r="C19" s="213">
        <f>+C18+$N$12</f>
        <v>2.5</v>
      </c>
      <c r="D19" s="190">
        <v>0.13</v>
      </c>
      <c r="E19" s="190">
        <v>3.5000000000000003E-2</v>
      </c>
      <c r="F19" s="64" t="s">
        <v>71</v>
      </c>
      <c r="G19" s="65">
        <v>0</v>
      </c>
      <c r="H19" s="66"/>
      <c r="I19" s="67"/>
      <c r="J19" s="68"/>
      <c r="K19" s="190">
        <f>+IF(E19&lt;=0.12,(J21),(IF(E19&lt;0.16,((J20+2*J21+J22)/4),IF(E19&gt;=0.16,((J19+3*J20+2*J21+3*J22+J23)/10)))))</f>
        <v>8.0000000000000002E-3</v>
      </c>
      <c r="L19" s="190">
        <f>ROUND(+(D18+D19)/2*(C19-C18),3)</f>
        <v>2.5999999999999999E-2</v>
      </c>
      <c r="M19" s="190">
        <f>ROUND(+K19*L19,4)</f>
        <v>2.0000000000000001E-4</v>
      </c>
      <c r="N19" s="193">
        <f>ROUND(+M19/$M$113*100,2)</f>
        <v>7.0000000000000007E-2</v>
      </c>
      <c r="O19" s="194"/>
      <c r="P19" s="195"/>
      <c r="Q19" s="53"/>
      <c r="R19" s="53"/>
      <c r="S19" s="53"/>
      <c r="T19" s="53"/>
      <c r="U19" s="53"/>
      <c r="V19" s="53"/>
      <c r="W19" s="53"/>
      <c r="X19" s="53"/>
      <c r="Y19" s="53"/>
      <c r="Z19" s="53"/>
    </row>
    <row r="20" spans="1:26" s="61" customFormat="1" ht="13.5" customHeight="1" x14ac:dyDescent="0.25">
      <c r="A20" s="53"/>
      <c r="B20" s="211"/>
      <c r="C20" s="191"/>
      <c r="D20" s="191"/>
      <c r="E20" s="191"/>
      <c r="F20" s="69" t="s">
        <v>72</v>
      </c>
      <c r="G20" s="70" t="str">
        <f>IF(E19&lt;0.125,"NA",IF(0.125&lt;=E19,(0.2*E19)))</f>
        <v>NA</v>
      </c>
      <c r="H20" s="71"/>
      <c r="I20" s="72"/>
      <c r="J20" s="73"/>
      <c r="K20" s="191"/>
      <c r="L20" s="191"/>
      <c r="M20" s="191"/>
      <c r="N20" s="191"/>
      <c r="O20" s="191"/>
      <c r="P20" s="196"/>
      <c r="Q20" s="53"/>
      <c r="R20" s="53"/>
      <c r="S20" s="53"/>
      <c r="T20" s="53"/>
      <c r="U20" s="53"/>
      <c r="V20" s="53"/>
      <c r="W20" s="53"/>
      <c r="X20" s="53"/>
      <c r="Y20" s="53"/>
      <c r="Z20" s="53"/>
    </row>
    <row r="21" spans="1:26" s="61" customFormat="1" ht="13.5" customHeight="1" x14ac:dyDescent="0.25">
      <c r="A21" s="53"/>
      <c r="B21" s="211"/>
      <c r="C21" s="191"/>
      <c r="D21" s="191"/>
      <c r="E21" s="191"/>
      <c r="F21" s="69" t="s">
        <v>73</v>
      </c>
      <c r="G21" s="70">
        <f>+E19*0.4</f>
        <v>1.4000000000000002E-2</v>
      </c>
      <c r="H21" s="71"/>
      <c r="I21" s="72"/>
      <c r="J21" s="73">
        <v>8.0000000000000002E-3</v>
      </c>
      <c r="K21" s="191"/>
      <c r="L21" s="191"/>
      <c r="M21" s="191"/>
      <c r="N21" s="191"/>
      <c r="O21" s="191"/>
      <c r="P21" s="196"/>
      <c r="Q21" s="53"/>
      <c r="R21" s="53"/>
      <c r="S21" s="53"/>
      <c r="T21" s="53"/>
      <c r="U21" s="53"/>
      <c r="V21" s="53"/>
      <c r="W21" s="53"/>
      <c r="X21" s="53"/>
      <c r="Y21" s="53"/>
      <c r="Z21" s="53"/>
    </row>
    <row r="22" spans="1:26" s="61" customFormat="1" ht="13.5" customHeight="1" x14ac:dyDescent="0.25">
      <c r="A22" s="53"/>
      <c r="B22" s="211"/>
      <c r="C22" s="191"/>
      <c r="D22" s="191"/>
      <c r="E22" s="191"/>
      <c r="F22" s="69" t="s">
        <v>74</v>
      </c>
      <c r="G22" s="70" t="str">
        <f>IF(E19&lt;0.125,"NA",IF(0.125&lt;=E19,(0.8*E19)))</f>
        <v>NA</v>
      </c>
      <c r="H22" s="71"/>
      <c r="I22" s="72"/>
      <c r="J22" s="73"/>
      <c r="K22" s="191"/>
      <c r="L22" s="191"/>
      <c r="M22" s="191"/>
      <c r="N22" s="191"/>
      <c r="O22" s="191"/>
      <c r="P22" s="196"/>
      <c r="Q22" s="53"/>
      <c r="R22" s="53"/>
      <c r="S22" s="53"/>
      <c r="T22" s="53"/>
      <c r="U22" s="53"/>
      <c r="V22" s="53"/>
      <c r="W22" s="53"/>
      <c r="X22" s="53"/>
      <c r="Y22" s="53"/>
      <c r="Z22" s="53"/>
    </row>
    <row r="23" spans="1:26" s="61" customFormat="1" ht="13.5" customHeight="1" thickBot="1" x14ac:dyDescent="0.3">
      <c r="A23" s="53"/>
      <c r="B23" s="212"/>
      <c r="C23" s="192"/>
      <c r="D23" s="192"/>
      <c r="E23" s="192"/>
      <c r="F23" s="74" t="s">
        <v>75</v>
      </c>
      <c r="G23" s="75">
        <f>+E19</f>
        <v>3.5000000000000003E-2</v>
      </c>
      <c r="H23" s="76"/>
      <c r="I23" s="77"/>
      <c r="J23" s="78"/>
      <c r="K23" s="192"/>
      <c r="L23" s="192"/>
      <c r="M23" s="192"/>
      <c r="N23" s="192"/>
      <c r="O23" s="192"/>
      <c r="P23" s="197"/>
      <c r="Q23" s="53"/>
      <c r="R23" s="53"/>
      <c r="S23" s="53"/>
      <c r="T23" s="53"/>
      <c r="U23" s="53"/>
      <c r="V23" s="53"/>
      <c r="W23" s="53"/>
      <c r="X23" s="53"/>
      <c r="Y23" s="53"/>
      <c r="Z23" s="53"/>
    </row>
    <row r="24" spans="1:26" s="61" customFormat="1" ht="13.5" customHeight="1" x14ac:dyDescent="0.25">
      <c r="A24" s="53"/>
      <c r="B24" s="210">
        <v>2</v>
      </c>
      <c r="C24" s="213">
        <f>C19+$N$12</f>
        <v>2.9</v>
      </c>
      <c r="D24" s="190">
        <v>0.315</v>
      </c>
      <c r="E24" s="190">
        <v>0.14000000000000001</v>
      </c>
      <c r="F24" s="64" t="s">
        <v>71</v>
      </c>
      <c r="G24" s="65">
        <v>0</v>
      </c>
      <c r="H24" s="66"/>
      <c r="I24" s="67"/>
      <c r="J24" s="68">
        <v>3.0000000000000001E-3</v>
      </c>
      <c r="K24" s="190">
        <f t="shared" ref="K24" si="0">+IF(E24&lt;=0.12,(J26),(IF(E24&lt;0.16,((J25+2*J26+J27)/4),IF(E24&gt;=0.16,((J24+3*J25+2*J26+3*J27+J28)/10)))))</f>
        <v>1.35E-2</v>
      </c>
      <c r="L24" s="190">
        <f>ROUND(+(D19+D24)/2*(C24-C19),3)</f>
        <v>8.8999999999999996E-2</v>
      </c>
      <c r="M24" s="190">
        <f t="shared" ref="M24" si="1">ROUND(+K24*L24,4)</f>
        <v>1.1999999999999999E-3</v>
      </c>
      <c r="N24" s="193">
        <f>ROUND(+M24/$M$113*100,2)</f>
        <v>0.43</v>
      </c>
      <c r="O24" s="194"/>
      <c r="P24" s="195"/>
      <c r="Q24" s="53"/>
      <c r="R24" s="53"/>
      <c r="S24" s="53"/>
      <c r="T24" s="53"/>
      <c r="U24" s="53"/>
      <c r="V24" s="53"/>
      <c r="W24" s="53"/>
      <c r="X24" s="53"/>
      <c r="Y24" s="53"/>
      <c r="Z24" s="53"/>
    </row>
    <row r="25" spans="1:26" s="61" customFormat="1" ht="13.5" customHeight="1" x14ac:dyDescent="0.25">
      <c r="A25" s="53"/>
      <c r="B25" s="211"/>
      <c r="C25" s="191"/>
      <c r="D25" s="191"/>
      <c r="E25" s="191"/>
      <c r="F25" s="69" t="s">
        <v>72</v>
      </c>
      <c r="G25" s="70">
        <f t="shared" ref="G25" si="2">IF(E24&lt;0.125,"NA",IF(0.125&lt;=E24,(0.2*E24)))</f>
        <v>2.8000000000000004E-2</v>
      </c>
      <c r="H25" s="71"/>
      <c r="I25" s="72"/>
      <c r="J25" s="73">
        <v>6.0000000000000001E-3</v>
      </c>
      <c r="K25" s="191"/>
      <c r="L25" s="191"/>
      <c r="M25" s="191"/>
      <c r="N25" s="191"/>
      <c r="O25" s="191"/>
      <c r="P25" s="196"/>
      <c r="Q25" s="53"/>
      <c r="R25" s="53"/>
      <c r="S25" s="53"/>
      <c r="T25" s="53"/>
      <c r="U25" s="53"/>
      <c r="V25" s="53"/>
      <c r="W25" s="53"/>
      <c r="X25" s="53"/>
      <c r="Y25" s="53"/>
      <c r="Z25" s="53"/>
    </row>
    <row r="26" spans="1:26" s="61" customFormat="1" ht="13.5" customHeight="1" x14ac:dyDescent="0.25">
      <c r="A26" s="53"/>
      <c r="B26" s="211"/>
      <c r="C26" s="191"/>
      <c r="D26" s="191"/>
      <c r="E26" s="191"/>
      <c r="F26" s="69" t="s">
        <v>73</v>
      </c>
      <c r="G26" s="70">
        <f t="shared" ref="G26" si="3">+E24*0.4</f>
        <v>5.6000000000000008E-2</v>
      </c>
      <c r="H26" s="71"/>
      <c r="I26" s="72"/>
      <c r="J26" s="73">
        <v>1.6E-2</v>
      </c>
      <c r="K26" s="191"/>
      <c r="L26" s="191"/>
      <c r="M26" s="191"/>
      <c r="N26" s="191"/>
      <c r="O26" s="191"/>
      <c r="P26" s="196"/>
      <c r="Q26" s="53"/>
      <c r="R26" s="53"/>
      <c r="S26" s="53"/>
      <c r="T26" s="53"/>
      <c r="U26" s="53"/>
      <c r="V26" s="53"/>
      <c r="W26" s="53"/>
      <c r="X26" s="53"/>
      <c r="Y26" s="53"/>
      <c r="Z26" s="53"/>
    </row>
    <row r="27" spans="1:26" s="61" customFormat="1" ht="13.5" customHeight="1" x14ac:dyDescent="0.25">
      <c r="A27" s="53"/>
      <c r="B27" s="211"/>
      <c r="C27" s="191"/>
      <c r="D27" s="191"/>
      <c r="E27" s="191"/>
      <c r="F27" s="69" t="s">
        <v>74</v>
      </c>
      <c r="G27" s="70">
        <f t="shared" ref="G27" si="4">IF(E24&lt;0.125,"NA",IF(0.125&lt;=E24,(0.8*E24)))</f>
        <v>0.11200000000000002</v>
      </c>
      <c r="H27" s="71"/>
      <c r="I27" s="72"/>
      <c r="J27" s="73">
        <v>1.6E-2</v>
      </c>
      <c r="K27" s="191"/>
      <c r="L27" s="191"/>
      <c r="M27" s="191"/>
      <c r="N27" s="191"/>
      <c r="O27" s="191"/>
      <c r="P27" s="196"/>
      <c r="Q27" s="53"/>
      <c r="R27" s="53"/>
      <c r="S27" s="53"/>
      <c r="T27" s="53"/>
      <c r="U27" s="53"/>
      <c r="V27" s="53"/>
      <c r="W27" s="53"/>
      <c r="X27" s="53"/>
      <c r="Y27" s="53"/>
      <c r="Z27" s="53"/>
    </row>
    <row r="28" spans="1:26" s="61" customFormat="1" ht="13.5" customHeight="1" thickBot="1" x14ac:dyDescent="0.3">
      <c r="A28" s="53"/>
      <c r="B28" s="212"/>
      <c r="C28" s="192"/>
      <c r="D28" s="192"/>
      <c r="E28" s="192"/>
      <c r="F28" s="74" t="s">
        <v>75</v>
      </c>
      <c r="G28" s="75">
        <f t="shared" ref="G28" si="5">+E24</f>
        <v>0.14000000000000001</v>
      </c>
      <c r="H28" s="76"/>
      <c r="I28" s="77"/>
      <c r="J28" s="78">
        <v>1.7000000000000001E-2</v>
      </c>
      <c r="K28" s="192"/>
      <c r="L28" s="192"/>
      <c r="M28" s="192"/>
      <c r="N28" s="192"/>
      <c r="O28" s="192"/>
      <c r="P28" s="197"/>
      <c r="Q28" s="53"/>
      <c r="R28" s="53"/>
      <c r="S28" s="53"/>
      <c r="T28" s="53"/>
      <c r="U28" s="53"/>
      <c r="V28" s="53"/>
      <c r="W28" s="53"/>
      <c r="X28" s="53"/>
      <c r="Y28" s="53"/>
      <c r="Z28" s="53"/>
    </row>
    <row r="29" spans="1:26" s="61" customFormat="1" ht="13.5" customHeight="1" x14ac:dyDescent="0.25">
      <c r="A29" s="53"/>
      <c r="B29" s="210">
        <v>3</v>
      </c>
      <c r="C29" s="213">
        <f>C24+$N$12</f>
        <v>3.3</v>
      </c>
      <c r="D29" s="190">
        <v>0.32500000000000001</v>
      </c>
      <c r="E29" s="190">
        <v>0.39</v>
      </c>
      <c r="F29" s="64" t="s">
        <v>71</v>
      </c>
      <c r="G29" s="65">
        <v>0</v>
      </c>
      <c r="H29" s="66"/>
      <c r="I29" s="67"/>
      <c r="J29" s="68">
        <v>8.9999999999999993E-3</v>
      </c>
      <c r="K29" s="190">
        <f t="shared" ref="K29" si="6">+IF(E29&lt;=0.12,(J31),(IF(E29&lt;0.16,((J30+2*J31+J32)/4),IF(E29&gt;=0.16,((J29+3*J30+2*J31+3*J32+J33)/10)))))</f>
        <v>0.06</v>
      </c>
      <c r="L29" s="190">
        <f t="shared" ref="L29" si="7">ROUND(+(D24+D29)/2*(C29-C24),3)</f>
        <v>0.128</v>
      </c>
      <c r="M29" s="190">
        <f t="shared" ref="M29" si="8">ROUND(+K29*L29,4)</f>
        <v>7.7000000000000002E-3</v>
      </c>
      <c r="N29" s="193">
        <f t="shared" ref="N29" si="9">ROUND(+M29/$M$113*100,2)</f>
        <v>2.78</v>
      </c>
      <c r="O29" s="194"/>
      <c r="P29" s="195"/>
      <c r="Q29" s="53"/>
      <c r="R29" s="53"/>
      <c r="S29" s="53"/>
      <c r="T29" s="53"/>
      <c r="U29" s="53"/>
      <c r="V29" s="53"/>
      <c r="W29" s="53"/>
      <c r="X29" s="53"/>
      <c r="Y29" s="53"/>
      <c r="Z29" s="53"/>
    </row>
    <row r="30" spans="1:26" s="61" customFormat="1" ht="13.5" customHeight="1" x14ac:dyDescent="0.25">
      <c r="A30" s="53"/>
      <c r="B30" s="211"/>
      <c r="C30" s="191"/>
      <c r="D30" s="191"/>
      <c r="E30" s="191"/>
      <c r="F30" s="69" t="s">
        <v>72</v>
      </c>
      <c r="G30" s="70">
        <f t="shared" ref="G30" si="10">IF(E29&lt;0.125,"NA",IF(0.125&lt;=E29,(0.2*E29)))</f>
        <v>7.8000000000000014E-2</v>
      </c>
      <c r="H30" s="71"/>
      <c r="I30" s="72"/>
      <c r="J30" s="73">
        <v>5.1999999999999998E-2</v>
      </c>
      <c r="K30" s="191"/>
      <c r="L30" s="191"/>
      <c r="M30" s="191"/>
      <c r="N30" s="191"/>
      <c r="O30" s="191"/>
      <c r="P30" s="196"/>
      <c r="Q30" s="53"/>
      <c r="R30" s="53"/>
      <c r="S30" s="53"/>
      <c r="T30" s="53"/>
      <c r="U30" s="53"/>
      <c r="V30" s="53"/>
      <c r="W30" s="53"/>
      <c r="X30" s="53"/>
      <c r="Y30" s="53"/>
      <c r="Z30" s="53"/>
    </row>
    <row r="31" spans="1:26" s="61" customFormat="1" ht="13.5" customHeight="1" x14ac:dyDescent="0.25">
      <c r="A31" s="53"/>
      <c r="B31" s="211"/>
      <c r="C31" s="191"/>
      <c r="D31" s="191"/>
      <c r="E31" s="191"/>
      <c r="F31" s="69" t="s">
        <v>73</v>
      </c>
      <c r="G31" s="70">
        <f t="shared" ref="G31" si="11">+E29*0.4</f>
        <v>0.15600000000000003</v>
      </c>
      <c r="H31" s="71"/>
      <c r="I31" s="72"/>
      <c r="J31" s="73">
        <v>0.06</v>
      </c>
      <c r="K31" s="191"/>
      <c r="L31" s="191"/>
      <c r="M31" s="191"/>
      <c r="N31" s="191"/>
      <c r="O31" s="191"/>
      <c r="P31" s="196"/>
      <c r="Q31" s="53"/>
      <c r="R31" s="53"/>
      <c r="S31" s="53"/>
      <c r="T31" s="53"/>
      <c r="U31" s="53"/>
      <c r="V31" s="53"/>
      <c r="W31" s="53"/>
      <c r="X31" s="53"/>
      <c r="Y31" s="53"/>
      <c r="Z31" s="53"/>
    </row>
    <row r="32" spans="1:26" s="61" customFormat="1" ht="13.5" customHeight="1" x14ac:dyDescent="0.25">
      <c r="A32" s="53"/>
      <c r="B32" s="211"/>
      <c r="C32" s="191"/>
      <c r="D32" s="191"/>
      <c r="E32" s="191"/>
      <c r="F32" s="69" t="s">
        <v>74</v>
      </c>
      <c r="G32" s="70">
        <f t="shared" ref="G32" si="12">IF(E29&lt;0.125,"NA",IF(0.125&lt;=E29,(0.8*E29)))</f>
        <v>0.31200000000000006</v>
      </c>
      <c r="H32" s="71"/>
      <c r="I32" s="72"/>
      <c r="J32" s="73">
        <v>0.08</v>
      </c>
      <c r="K32" s="191"/>
      <c r="L32" s="191"/>
      <c r="M32" s="191"/>
      <c r="N32" s="191"/>
      <c r="O32" s="191"/>
      <c r="P32" s="196"/>
      <c r="Q32" s="53"/>
      <c r="R32" s="53"/>
      <c r="S32" s="53"/>
      <c r="T32" s="53"/>
      <c r="U32" s="53"/>
      <c r="V32" s="53"/>
      <c r="W32" s="53"/>
      <c r="X32" s="53"/>
      <c r="Y32" s="53"/>
      <c r="Z32" s="53"/>
    </row>
    <row r="33" spans="1:26" s="61" customFormat="1" ht="13.5" customHeight="1" thickBot="1" x14ac:dyDescent="0.3">
      <c r="A33" s="53"/>
      <c r="B33" s="212"/>
      <c r="C33" s="192"/>
      <c r="D33" s="192"/>
      <c r="E33" s="192"/>
      <c r="F33" s="74" t="s">
        <v>75</v>
      </c>
      <c r="G33" s="75">
        <f t="shared" ref="G33" si="13">+E29</f>
        <v>0.39</v>
      </c>
      <c r="H33" s="76"/>
      <c r="I33" s="77"/>
      <c r="J33" s="78">
        <v>7.4999999999999997E-2</v>
      </c>
      <c r="K33" s="192"/>
      <c r="L33" s="192"/>
      <c r="M33" s="192"/>
      <c r="N33" s="192"/>
      <c r="O33" s="192"/>
      <c r="P33" s="197"/>
      <c r="Q33" s="53"/>
      <c r="R33" s="53"/>
      <c r="S33" s="53"/>
      <c r="T33" s="53"/>
      <c r="U33" s="53"/>
      <c r="V33" s="53"/>
      <c r="W33" s="53"/>
      <c r="X33" s="53"/>
      <c r="Y33" s="53"/>
      <c r="Z33" s="53"/>
    </row>
    <row r="34" spans="1:26" s="61" customFormat="1" ht="13.5" customHeight="1" x14ac:dyDescent="0.25">
      <c r="A34" s="53"/>
      <c r="B34" s="210">
        <v>4</v>
      </c>
      <c r="C34" s="213">
        <f>C29+$N$12</f>
        <v>3.6999999999999997</v>
      </c>
      <c r="D34" s="190">
        <v>0.51</v>
      </c>
      <c r="E34" s="190">
        <v>0.37</v>
      </c>
      <c r="F34" s="64" t="s">
        <v>71</v>
      </c>
      <c r="G34" s="65">
        <v>0</v>
      </c>
      <c r="H34" s="66"/>
      <c r="I34" s="67"/>
      <c r="J34" s="68">
        <v>7.8E-2</v>
      </c>
      <c r="K34" s="190">
        <f t="shared" ref="K34" si="14">+IF(E34&lt;=0.12,(J36),(IF(E34&lt;0.16,((J35+2*J36+J37)/4),IF(E34&gt;=0.16,((J34+3*J35+2*J36+3*J37+J38)/10)))))</f>
        <v>9.3300000000000008E-2</v>
      </c>
      <c r="L34" s="190">
        <f t="shared" ref="L34" si="15">ROUND(+(D29+D34)/2*(C34-C29),3)</f>
        <v>0.16700000000000001</v>
      </c>
      <c r="M34" s="190">
        <f t="shared" ref="M34" si="16">ROUND(+K34*L34,4)</f>
        <v>1.5599999999999999E-2</v>
      </c>
      <c r="N34" s="193">
        <f t="shared" ref="N34" si="17">ROUND(+M34/$M$113*100,2)</f>
        <v>5.63</v>
      </c>
      <c r="O34" s="194"/>
      <c r="P34" s="195"/>
      <c r="Q34" s="53"/>
      <c r="R34" s="53"/>
      <c r="S34" s="53"/>
      <c r="T34" s="53"/>
      <c r="U34" s="53"/>
      <c r="V34" s="53"/>
      <c r="W34" s="53"/>
      <c r="X34" s="53"/>
      <c r="Y34" s="53"/>
      <c r="Z34" s="53"/>
    </row>
    <row r="35" spans="1:26" s="61" customFormat="1" ht="13.5" customHeight="1" x14ac:dyDescent="0.25">
      <c r="A35" s="53"/>
      <c r="B35" s="211"/>
      <c r="C35" s="191"/>
      <c r="D35" s="191"/>
      <c r="E35" s="191"/>
      <c r="F35" s="69" t="s">
        <v>72</v>
      </c>
      <c r="G35" s="70">
        <f t="shared" ref="G35" si="18">IF(E34&lt;0.125,"NA",IF(0.125&lt;=E34,(0.2*E34)))</f>
        <v>7.3999999999999996E-2</v>
      </c>
      <c r="H35" s="71"/>
      <c r="I35" s="72"/>
      <c r="J35" s="73">
        <v>9.2999999999999999E-2</v>
      </c>
      <c r="K35" s="191"/>
      <c r="L35" s="191"/>
      <c r="M35" s="191"/>
      <c r="N35" s="191"/>
      <c r="O35" s="191"/>
      <c r="P35" s="196"/>
      <c r="Q35" s="53"/>
      <c r="R35" s="53"/>
      <c r="S35" s="53"/>
      <c r="T35" s="53"/>
      <c r="U35" s="53"/>
      <c r="V35" s="53"/>
      <c r="W35" s="53"/>
      <c r="X35" s="53"/>
      <c r="Y35" s="53"/>
      <c r="Z35" s="53"/>
    </row>
    <row r="36" spans="1:26" s="61" customFormat="1" ht="13.5" customHeight="1" x14ac:dyDescent="0.25">
      <c r="A36" s="53"/>
      <c r="B36" s="211"/>
      <c r="C36" s="191"/>
      <c r="D36" s="191"/>
      <c r="E36" s="191"/>
      <c r="F36" s="69" t="s">
        <v>73</v>
      </c>
      <c r="G36" s="70">
        <f t="shared" ref="G36" si="19">+E34*0.4</f>
        <v>0.14799999999999999</v>
      </c>
      <c r="H36" s="71"/>
      <c r="I36" s="72"/>
      <c r="J36" s="73">
        <v>6.8000000000000005E-2</v>
      </c>
      <c r="K36" s="191"/>
      <c r="L36" s="191"/>
      <c r="M36" s="191"/>
      <c r="N36" s="191"/>
      <c r="O36" s="191"/>
      <c r="P36" s="196"/>
      <c r="Q36" s="53"/>
      <c r="R36" s="53"/>
      <c r="S36" s="53"/>
      <c r="T36" s="53"/>
      <c r="U36" s="53"/>
      <c r="V36" s="53"/>
      <c r="W36" s="53"/>
      <c r="X36" s="53"/>
      <c r="Y36" s="53"/>
      <c r="Z36" s="53"/>
    </row>
    <row r="37" spans="1:26" s="61" customFormat="1" ht="13.5" customHeight="1" x14ac:dyDescent="0.25">
      <c r="A37" s="53"/>
      <c r="B37" s="211"/>
      <c r="C37" s="191"/>
      <c r="D37" s="191"/>
      <c r="E37" s="191"/>
      <c r="F37" s="69" t="s">
        <v>74</v>
      </c>
      <c r="G37" s="70">
        <f t="shared" ref="G37" si="20">IF(E34&lt;0.125,"NA",IF(0.125&lt;=E34,(0.8*E34)))</f>
        <v>0.29599999999999999</v>
      </c>
      <c r="H37" s="71"/>
      <c r="I37" s="72"/>
      <c r="J37" s="73">
        <v>0.108</v>
      </c>
      <c r="K37" s="191"/>
      <c r="L37" s="191"/>
      <c r="M37" s="191"/>
      <c r="N37" s="191"/>
      <c r="O37" s="191"/>
      <c r="P37" s="196"/>
      <c r="Q37" s="53"/>
      <c r="R37" s="53"/>
      <c r="S37" s="53"/>
      <c r="T37" s="53"/>
      <c r="U37" s="53"/>
      <c r="V37" s="53"/>
      <c r="W37" s="53"/>
      <c r="X37" s="53"/>
      <c r="Y37" s="53"/>
      <c r="Z37" s="53"/>
    </row>
    <row r="38" spans="1:26" s="61" customFormat="1" ht="13.5" customHeight="1" thickBot="1" x14ac:dyDescent="0.3">
      <c r="A38" s="53"/>
      <c r="B38" s="212"/>
      <c r="C38" s="192"/>
      <c r="D38" s="192"/>
      <c r="E38" s="192"/>
      <c r="F38" s="74" t="s">
        <v>75</v>
      </c>
      <c r="G38" s="75">
        <f t="shared" ref="G38" si="21">+E34</f>
        <v>0.37</v>
      </c>
      <c r="H38" s="76"/>
      <c r="I38" s="77"/>
      <c r="J38" s="78">
        <v>0.11600000000000001</v>
      </c>
      <c r="K38" s="192"/>
      <c r="L38" s="192"/>
      <c r="M38" s="192"/>
      <c r="N38" s="192"/>
      <c r="O38" s="192"/>
      <c r="P38" s="197"/>
      <c r="Q38" s="53"/>
      <c r="R38" s="53"/>
      <c r="S38" s="53"/>
      <c r="T38" s="53"/>
      <c r="U38" s="53"/>
      <c r="V38" s="53"/>
      <c r="W38" s="53"/>
      <c r="X38" s="53"/>
      <c r="Y38" s="53"/>
      <c r="Z38" s="53"/>
    </row>
    <row r="39" spans="1:26" s="61" customFormat="1" ht="13.5" customHeight="1" x14ac:dyDescent="0.25">
      <c r="A39" s="53"/>
      <c r="B39" s="210">
        <v>5</v>
      </c>
      <c r="C39" s="213">
        <f t="shared" ref="C39" si="22">C34+$N$12</f>
        <v>4.0999999999999996</v>
      </c>
      <c r="D39" s="190">
        <v>0.45</v>
      </c>
      <c r="E39" s="190">
        <v>0.48499999999999999</v>
      </c>
      <c r="F39" s="64" t="s">
        <v>71</v>
      </c>
      <c r="G39" s="65">
        <v>0</v>
      </c>
      <c r="H39" s="66"/>
      <c r="I39" s="67"/>
      <c r="J39" s="68">
        <v>8.0000000000000002E-3</v>
      </c>
      <c r="K39" s="190">
        <f t="shared" ref="K39" si="23">+IF(E39&lt;=0.12,(J41),(IF(E39&lt;0.16,((J40+2*J41+J42)/4),IF(E39&gt;=0.16,((J39+3*J40+2*J41+3*J42+J43)/10)))))</f>
        <v>5.1000000000000004E-2</v>
      </c>
      <c r="L39" s="190">
        <f t="shared" ref="L39" si="24">ROUND(+(D34+D39)/2*(C39-C34),3)</f>
        <v>0.192</v>
      </c>
      <c r="M39" s="190">
        <f t="shared" ref="M39" si="25">ROUND(+K39*L39,4)</f>
        <v>9.7999999999999997E-3</v>
      </c>
      <c r="N39" s="193">
        <f t="shared" ref="N39" si="26">ROUND(+M39/$M$113*100,2)</f>
        <v>3.54</v>
      </c>
      <c r="O39" s="194"/>
      <c r="P39" s="195"/>
      <c r="Q39" s="53"/>
      <c r="R39" s="53"/>
      <c r="S39" s="53"/>
      <c r="T39" s="53"/>
      <c r="U39" s="53"/>
      <c r="V39" s="53"/>
      <c r="W39" s="53"/>
      <c r="X39" s="53"/>
      <c r="Y39" s="53"/>
      <c r="Z39" s="53"/>
    </row>
    <row r="40" spans="1:26" s="61" customFormat="1" ht="13.5" customHeight="1" x14ac:dyDescent="0.25">
      <c r="A40" s="53"/>
      <c r="B40" s="211"/>
      <c r="C40" s="191"/>
      <c r="D40" s="191"/>
      <c r="E40" s="191"/>
      <c r="F40" s="69" t="s">
        <v>72</v>
      </c>
      <c r="G40" s="70">
        <f t="shared" ref="G40" si="27">IF(E39&lt;0.125,"NA",IF(0.125&lt;=E39,(0.2*E39)))</f>
        <v>9.7000000000000003E-2</v>
      </c>
      <c r="H40" s="71"/>
      <c r="I40" s="72"/>
      <c r="J40" s="73">
        <v>3.5000000000000003E-2</v>
      </c>
      <c r="K40" s="191"/>
      <c r="L40" s="191"/>
      <c r="M40" s="191"/>
      <c r="N40" s="191"/>
      <c r="O40" s="191"/>
      <c r="P40" s="196"/>
      <c r="Q40" s="53"/>
      <c r="R40" s="53"/>
      <c r="S40" s="53"/>
      <c r="T40" s="53"/>
      <c r="U40" s="53"/>
      <c r="V40" s="53"/>
      <c r="W40" s="53"/>
      <c r="X40" s="53"/>
      <c r="Y40" s="53"/>
      <c r="Z40" s="53"/>
    </row>
    <row r="41" spans="1:26" s="61" customFormat="1" ht="13.5" customHeight="1" x14ac:dyDescent="0.25">
      <c r="A41" s="53"/>
      <c r="B41" s="211"/>
      <c r="C41" s="191"/>
      <c r="D41" s="191"/>
      <c r="E41" s="191"/>
      <c r="F41" s="69" t="s">
        <v>73</v>
      </c>
      <c r="G41" s="70">
        <f t="shared" ref="G41" si="28">+E39*0.4</f>
        <v>0.19400000000000001</v>
      </c>
      <c r="H41" s="71"/>
      <c r="I41" s="72"/>
      <c r="J41" s="73">
        <v>0.05</v>
      </c>
      <c r="K41" s="191"/>
      <c r="L41" s="191"/>
      <c r="M41" s="191"/>
      <c r="N41" s="191"/>
      <c r="O41" s="191"/>
      <c r="P41" s="196"/>
      <c r="Q41" s="53"/>
      <c r="R41" s="53"/>
      <c r="S41" s="53"/>
      <c r="T41" s="53"/>
      <c r="U41" s="53"/>
      <c r="V41" s="53"/>
      <c r="W41" s="53"/>
      <c r="X41" s="53"/>
      <c r="Y41" s="53"/>
      <c r="Z41" s="53"/>
    </row>
    <row r="42" spans="1:26" s="61" customFormat="1" ht="13.5" customHeight="1" x14ac:dyDescent="0.25">
      <c r="A42" s="53"/>
      <c r="B42" s="211"/>
      <c r="C42" s="191"/>
      <c r="D42" s="191"/>
      <c r="E42" s="191"/>
      <c r="F42" s="69" t="s">
        <v>74</v>
      </c>
      <c r="G42" s="70">
        <f t="shared" ref="G42" si="29">IF(E39&lt;0.125,"NA",IF(0.125&lt;=E39,(0.8*E39)))</f>
        <v>0.38800000000000001</v>
      </c>
      <c r="H42" s="71"/>
      <c r="I42" s="72"/>
      <c r="J42" s="73">
        <v>9.4E-2</v>
      </c>
      <c r="K42" s="191"/>
      <c r="L42" s="191"/>
      <c r="M42" s="191"/>
      <c r="N42" s="191"/>
      <c r="O42" s="191"/>
      <c r="P42" s="196"/>
      <c r="Q42" s="53"/>
      <c r="R42" s="53"/>
      <c r="S42" s="53"/>
      <c r="T42" s="53"/>
      <c r="U42" s="53"/>
      <c r="V42" s="53"/>
      <c r="W42" s="53"/>
      <c r="X42" s="53"/>
      <c r="Y42" s="53"/>
      <c r="Z42" s="53"/>
    </row>
    <row r="43" spans="1:26" s="61" customFormat="1" ht="13.5" customHeight="1" thickBot="1" x14ac:dyDescent="0.3">
      <c r="A43" s="53"/>
      <c r="B43" s="212"/>
      <c r="C43" s="192"/>
      <c r="D43" s="192"/>
      <c r="E43" s="192"/>
      <c r="F43" s="74" t="s">
        <v>75</v>
      </c>
      <c r="G43" s="75">
        <f t="shared" ref="G43" si="30">+E39</f>
        <v>0.48499999999999999</v>
      </c>
      <c r="H43" s="76"/>
      <c r="I43" s="77"/>
      <c r="J43" s="78">
        <v>1.4999999999999999E-2</v>
      </c>
      <c r="K43" s="192"/>
      <c r="L43" s="192"/>
      <c r="M43" s="192"/>
      <c r="N43" s="192"/>
      <c r="O43" s="192"/>
      <c r="P43" s="197"/>
      <c r="Q43" s="53"/>
      <c r="R43" s="53"/>
      <c r="S43" s="53"/>
      <c r="T43" s="53"/>
      <c r="U43" s="53"/>
      <c r="V43" s="53"/>
      <c r="W43" s="53"/>
      <c r="X43" s="53"/>
      <c r="Y43" s="53"/>
      <c r="Z43" s="53"/>
    </row>
    <row r="44" spans="1:26" s="61" customFormat="1" ht="13.5" customHeight="1" x14ac:dyDescent="0.25">
      <c r="A44" s="53"/>
      <c r="B44" s="210">
        <v>6</v>
      </c>
      <c r="C44" s="213">
        <f t="shared" ref="C44" si="31">C39+$N$12</f>
        <v>4.5</v>
      </c>
      <c r="D44" s="190">
        <v>0.53</v>
      </c>
      <c r="E44" s="190">
        <v>0.61599999999999999</v>
      </c>
      <c r="F44" s="64" t="s">
        <v>71</v>
      </c>
      <c r="G44" s="65">
        <v>0</v>
      </c>
      <c r="H44" s="66"/>
      <c r="I44" s="67"/>
      <c r="J44" s="68">
        <v>2.3E-2</v>
      </c>
      <c r="K44" s="190">
        <f t="shared" ref="K44" si="32">+IF(E44&lt;=0.12,(J46),(IF(E44&lt;0.16,((J45+2*J46+J47)/4),IF(E44&gt;=0.16,((J44+3*J45+2*J46+3*J47+J48)/10)))))</f>
        <v>4.5800000000000007E-2</v>
      </c>
      <c r="L44" s="190">
        <f t="shared" ref="L44" si="33">ROUND(+(D39+D44)/2*(C44-C39),3)</f>
        <v>0.19600000000000001</v>
      </c>
      <c r="M44" s="190">
        <f t="shared" ref="M44" si="34">ROUND(+K44*L44,4)</f>
        <v>8.9999999999999993E-3</v>
      </c>
      <c r="N44" s="193">
        <f t="shared" ref="N44" si="35">ROUND(+M44/$M$113*100,2)</f>
        <v>3.25</v>
      </c>
      <c r="O44" s="194"/>
      <c r="P44" s="195"/>
      <c r="Q44" s="53"/>
      <c r="R44" s="53"/>
      <c r="S44" s="53"/>
      <c r="T44" s="53"/>
      <c r="U44" s="53"/>
      <c r="V44" s="53"/>
      <c r="W44" s="53"/>
      <c r="X44" s="53"/>
      <c r="Y44" s="53"/>
      <c r="Z44" s="53"/>
    </row>
    <row r="45" spans="1:26" s="61" customFormat="1" ht="13.5" customHeight="1" x14ac:dyDescent="0.25">
      <c r="A45" s="53"/>
      <c r="B45" s="211"/>
      <c r="C45" s="191"/>
      <c r="D45" s="191"/>
      <c r="E45" s="191"/>
      <c r="F45" s="69" t="s">
        <v>72</v>
      </c>
      <c r="G45" s="70">
        <f t="shared" ref="G45" si="36">IF(E44&lt;0.125,"NA",IF(0.125&lt;=E44,(0.2*E44)))</f>
        <v>0.1232</v>
      </c>
      <c r="H45" s="71"/>
      <c r="I45" s="72"/>
      <c r="J45" s="73">
        <v>2.8000000000000001E-2</v>
      </c>
      <c r="K45" s="191"/>
      <c r="L45" s="191"/>
      <c r="M45" s="191"/>
      <c r="N45" s="191"/>
      <c r="O45" s="191"/>
      <c r="P45" s="196"/>
      <c r="Q45" s="53"/>
      <c r="R45" s="53"/>
      <c r="S45" s="53"/>
      <c r="T45" s="53"/>
      <c r="U45" s="53"/>
      <c r="V45" s="53"/>
      <c r="W45" s="53"/>
      <c r="X45" s="53"/>
      <c r="Y45" s="53"/>
      <c r="Z45" s="53"/>
    </row>
    <row r="46" spans="1:26" s="61" customFormat="1" ht="13.5" customHeight="1" x14ac:dyDescent="0.25">
      <c r="A46" s="53"/>
      <c r="B46" s="211"/>
      <c r="C46" s="191"/>
      <c r="D46" s="191"/>
      <c r="E46" s="191"/>
      <c r="F46" s="69" t="s">
        <v>73</v>
      </c>
      <c r="G46" s="70">
        <f t="shared" ref="G46" si="37">+E44*0.4</f>
        <v>0.24640000000000001</v>
      </c>
      <c r="H46" s="71"/>
      <c r="I46" s="72"/>
      <c r="J46" s="73">
        <v>0.05</v>
      </c>
      <c r="K46" s="191"/>
      <c r="L46" s="191"/>
      <c r="M46" s="191"/>
      <c r="N46" s="191"/>
      <c r="O46" s="191"/>
      <c r="P46" s="196"/>
      <c r="Q46" s="53"/>
      <c r="R46" s="53"/>
      <c r="S46" s="53"/>
      <c r="T46" s="53"/>
      <c r="U46" s="53"/>
      <c r="V46" s="53"/>
      <c r="W46" s="53"/>
      <c r="X46" s="53"/>
      <c r="Y46" s="53"/>
      <c r="Z46" s="53"/>
    </row>
    <row r="47" spans="1:26" s="61" customFormat="1" ht="13.5" customHeight="1" x14ac:dyDescent="0.25">
      <c r="A47" s="53"/>
      <c r="B47" s="211"/>
      <c r="C47" s="191"/>
      <c r="D47" s="191"/>
      <c r="E47" s="191"/>
      <c r="F47" s="69" t="s">
        <v>74</v>
      </c>
      <c r="G47" s="70">
        <f t="shared" ref="G47" si="38">IF(E44&lt;0.125,"NA",IF(0.125&lt;=E44,(0.8*E44)))</f>
        <v>0.49280000000000002</v>
      </c>
      <c r="H47" s="71"/>
      <c r="I47" s="72"/>
      <c r="J47" s="73">
        <v>3.5000000000000003E-2</v>
      </c>
      <c r="K47" s="191"/>
      <c r="L47" s="191"/>
      <c r="M47" s="191"/>
      <c r="N47" s="191"/>
      <c r="O47" s="191"/>
      <c r="P47" s="196"/>
      <c r="Q47" s="53"/>
      <c r="R47" s="53"/>
      <c r="S47" s="53"/>
      <c r="T47" s="53"/>
      <c r="U47" s="53"/>
      <c r="V47" s="53"/>
      <c r="W47" s="53"/>
      <c r="X47" s="53"/>
      <c r="Y47" s="53"/>
      <c r="Z47" s="53"/>
    </row>
    <row r="48" spans="1:26" s="61" customFormat="1" ht="13.5" customHeight="1" thickBot="1" x14ac:dyDescent="0.3">
      <c r="A48" s="53"/>
      <c r="B48" s="212"/>
      <c r="C48" s="192"/>
      <c r="D48" s="192"/>
      <c r="E48" s="192"/>
      <c r="F48" s="74" t="s">
        <v>75</v>
      </c>
      <c r="G48" s="75">
        <f t="shared" ref="G48" si="39">+E44</f>
        <v>0.61599999999999999</v>
      </c>
      <c r="H48" s="76"/>
      <c r="I48" s="77"/>
      <c r="J48" s="78">
        <v>0.14599999999999999</v>
      </c>
      <c r="K48" s="192"/>
      <c r="L48" s="192"/>
      <c r="M48" s="192"/>
      <c r="N48" s="192"/>
      <c r="O48" s="192"/>
      <c r="P48" s="197"/>
      <c r="Q48" s="53"/>
      <c r="R48" s="53"/>
      <c r="S48" s="53"/>
      <c r="T48" s="53"/>
      <c r="U48" s="53"/>
      <c r="V48" s="53"/>
      <c r="W48" s="53"/>
      <c r="X48" s="53"/>
      <c r="Y48" s="53"/>
      <c r="Z48" s="53"/>
    </row>
    <row r="49" spans="1:26" s="61" customFormat="1" ht="13.5" customHeight="1" x14ac:dyDescent="0.25">
      <c r="A49" s="53"/>
      <c r="B49" s="210">
        <v>7</v>
      </c>
      <c r="C49" s="213">
        <f t="shared" ref="C49" si="40">C44+$N$12</f>
        <v>4.9000000000000004</v>
      </c>
      <c r="D49" s="190">
        <v>0.55000000000000004</v>
      </c>
      <c r="E49" s="190">
        <v>0.44700000000000001</v>
      </c>
      <c r="F49" s="64" t="s">
        <v>71</v>
      </c>
      <c r="G49" s="65">
        <v>0</v>
      </c>
      <c r="H49" s="66"/>
      <c r="I49" s="67"/>
      <c r="J49" s="68">
        <v>4.2000000000000003E-2</v>
      </c>
      <c r="K49" s="190">
        <f t="shared" ref="K49" si="41">+IF(E49&lt;=0.12,(J51),(IF(E49&lt;0.16,((J50+2*J51+J52)/4),IF(E49&gt;=0.16,((J49+3*J50+2*J51+3*J52+J53)/10)))))</f>
        <v>0.1096</v>
      </c>
      <c r="L49" s="190">
        <f t="shared" ref="L49" si="42">ROUND(+(D44+D49)/2*(C49-C44),3)</f>
        <v>0.216</v>
      </c>
      <c r="M49" s="190">
        <f t="shared" ref="M49" si="43">ROUND(+K49*L49,4)</f>
        <v>2.3699999999999999E-2</v>
      </c>
      <c r="N49" s="193">
        <f t="shared" ref="N49" si="44">ROUND(+M49/$M$113*100,2)</f>
        <v>8.56</v>
      </c>
      <c r="O49" s="194"/>
      <c r="P49" s="195"/>
      <c r="Q49" s="53"/>
      <c r="R49" s="53"/>
      <c r="S49" s="53"/>
      <c r="T49" s="53"/>
      <c r="U49" s="53"/>
      <c r="V49" s="53"/>
      <c r="W49" s="53"/>
      <c r="X49" s="53"/>
      <c r="Y49" s="53"/>
      <c r="Z49" s="53"/>
    </row>
    <row r="50" spans="1:26" s="61" customFormat="1" ht="13.5" customHeight="1" x14ac:dyDescent="0.25">
      <c r="A50" s="53"/>
      <c r="B50" s="211"/>
      <c r="C50" s="191"/>
      <c r="D50" s="191"/>
      <c r="E50" s="191"/>
      <c r="F50" s="69" t="s">
        <v>72</v>
      </c>
      <c r="G50" s="70">
        <f t="shared" ref="G50" si="45">IF(E49&lt;0.125,"NA",IF(0.125&lt;=E49,(0.2*E49)))</f>
        <v>8.9400000000000007E-2</v>
      </c>
      <c r="H50" s="71"/>
      <c r="I50" s="72"/>
      <c r="J50" s="73">
        <v>1.9E-2</v>
      </c>
      <c r="K50" s="191"/>
      <c r="L50" s="191"/>
      <c r="M50" s="191"/>
      <c r="N50" s="191"/>
      <c r="O50" s="191"/>
      <c r="P50" s="196"/>
      <c r="Q50" s="53"/>
      <c r="R50" s="53"/>
      <c r="S50" s="53"/>
      <c r="T50" s="53"/>
      <c r="U50" s="53"/>
      <c r="V50" s="53"/>
      <c r="W50" s="53"/>
      <c r="X50" s="53"/>
      <c r="Y50" s="53"/>
      <c r="Z50" s="53"/>
    </row>
    <row r="51" spans="1:26" s="61" customFormat="1" ht="13.5" customHeight="1" x14ac:dyDescent="0.25">
      <c r="A51" s="53"/>
      <c r="B51" s="211"/>
      <c r="C51" s="191"/>
      <c r="D51" s="191"/>
      <c r="E51" s="191"/>
      <c r="F51" s="69" t="s">
        <v>73</v>
      </c>
      <c r="G51" s="70">
        <f t="shared" ref="G51" si="46">+E49*0.4</f>
        <v>0.17880000000000001</v>
      </c>
      <c r="H51" s="71"/>
      <c r="I51" s="72"/>
      <c r="J51" s="73">
        <v>1.7000000000000001E-2</v>
      </c>
      <c r="K51" s="191"/>
      <c r="L51" s="191"/>
      <c r="M51" s="191"/>
      <c r="N51" s="191"/>
      <c r="O51" s="191"/>
      <c r="P51" s="196"/>
      <c r="Q51" s="53"/>
      <c r="R51" s="53"/>
      <c r="S51" s="53"/>
      <c r="T51" s="53"/>
      <c r="U51" s="53"/>
      <c r="V51" s="53"/>
      <c r="W51" s="53"/>
      <c r="X51" s="53"/>
      <c r="Y51" s="53"/>
      <c r="Z51" s="53"/>
    </row>
    <row r="52" spans="1:26" s="61" customFormat="1" ht="13.5" customHeight="1" x14ac:dyDescent="0.25">
      <c r="A52" s="53"/>
      <c r="B52" s="211"/>
      <c r="C52" s="191"/>
      <c r="D52" s="191"/>
      <c r="E52" s="191"/>
      <c r="F52" s="69" t="s">
        <v>74</v>
      </c>
      <c r="G52" s="70">
        <f t="shared" ref="G52" si="47">IF(E49&lt;0.125,"NA",IF(0.125&lt;=E49,(0.8*E49)))</f>
        <v>0.35760000000000003</v>
      </c>
      <c r="H52" s="71"/>
      <c r="I52" s="72"/>
      <c r="J52" s="73">
        <v>0.22500000000000001</v>
      </c>
      <c r="K52" s="191"/>
      <c r="L52" s="191"/>
      <c r="M52" s="191"/>
      <c r="N52" s="191"/>
      <c r="O52" s="191"/>
      <c r="P52" s="196"/>
      <c r="Q52" s="53"/>
      <c r="R52" s="53"/>
      <c r="S52" s="53"/>
      <c r="T52" s="53"/>
      <c r="U52" s="53"/>
      <c r="V52" s="53"/>
      <c r="W52" s="53"/>
      <c r="X52" s="53"/>
      <c r="Y52" s="53"/>
      <c r="Z52" s="53"/>
    </row>
    <row r="53" spans="1:26" s="61" customFormat="1" ht="13.5" customHeight="1" thickBot="1" x14ac:dyDescent="0.3">
      <c r="A53" s="53"/>
      <c r="B53" s="212"/>
      <c r="C53" s="192"/>
      <c r="D53" s="192"/>
      <c r="E53" s="192"/>
      <c r="F53" s="74" t="s">
        <v>75</v>
      </c>
      <c r="G53" s="75">
        <f t="shared" ref="G53" si="48">+E49</f>
        <v>0.44700000000000001</v>
      </c>
      <c r="H53" s="76"/>
      <c r="I53" s="77"/>
      <c r="J53" s="78">
        <v>0.28799999999999998</v>
      </c>
      <c r="K53" s="192"/>
      <c r="L53" s="192"/>
      <c r="M53" s="192"/>
      <c r="N53" s="192"/>
      <c r="O53" s="192"/>
      <c r="P53" s="197"/>
      <c r="Q53" s="53"/>
      <c r="R53" s="53"/>
      <c r="S53" s="53"/>
      <c r="T53" s="53"/>
      <c r="U53" s="53"/>
      <c r="V53" s="53"/>
      <c r="W53" s="53"/>
      <c r="X53" s="53"/>
      <c r="Y53" s="53"/>
      <c r="Z53" s="53"/>
    </row>
    <row r="54" spans="1:26" s="61" customFormat="1" ht="13.5" customHeight="1" x14ac:dyDescent="0.25">
      <c r="A54" s="53"/>
      <c r="B54" s="210">
        <v>8</v>
      </c>
      <c r="C54" s="213">
        <f t="shared" ref="C54" si="49">C49+$N$12</f>
        <v>5.3000000000000007</v>
      </c>
      <c r="D54" s="190">
        <v>0.44500000000000001</v>
      </c>
      <c r="E54" s="190">
        <v>0.61299999999999999</v>
      </c>
      <c r="F54" s="64" t="s">
        <v>71</v>
      </c>
      <c r="G54" s="65">
        <v>0</v>
      </c>
      <c r="H54" s="66"/>
      <c r="I54" s="67"/>
      <c r="J54" s="68">
        <v>5.6000000000000001E-2</v>
      </c>
      <c r="K54" s="190">
        <f t="shared" ref="K54" si="50">+IF(E54&lt;=0.12,(J56),(IF(E54&lt;0.16,((J55+2*J56+J57)/4),IF(E54&gt;=0.16,((J54+3*J55+2*J56+3*J57+J58)/10)))))</f>
        <v>0.1368</v>
      </c>
      <c r="L54" s="190">
        <f t="shared" ref="L54" si="51">ROUND(+(D49+D54)/2*(C54-C49),3)</f>
        <v>0.19900000000000001</v>
      </c>
      <c r="M54" s="190">
        <f t="shared" ref="M54" si="52">ROUND(+K54*L54,4)</f>
        <v>2.7199999999999998E-2</v>
      </c>
      <c r="N54" s="193">
        <f t="shared" ref="N54" si="53">ROUND(+M54/$M$113*100,2)</f>
        <v>9.82</v>
      </c>
      <c r="O54" s="194"/>
      <c r="P54" s="195"/>
      <c r="Q54" s="53"/>
      <c r="R54" s="53"/>
      <c r="S54" s="53"/>
      <c r="T54" s="53"/>
      <c r="U54" s="53"/>
      <c r="V54" s="53"/>
      <c r="W54" s="53"/>
      <c r="X54" s="53"/>
      <c r="Y54" s="53"/>
      <c r="Z54" s="53"/>
    </row>
    <row r="55" spans="1:26" s="61" customFormat="1" ht="13.5" customHeight="1" x14ac:dyDescent="0.25">
      <c r="A55" s="53"/>
      <c r="B55" s="211"/>
      <c r="C55" s="191"/>
      <c r="D55" s="191"/>
      <c r="E55" s="191"/>
      <c r="F55" s="69" t="s">
        <v>72</v>
      </c>
      <c r="G55" s="70">
        <f t="shared" ref="G55" si="54">IF(E54&lt;0.125,"NA",IF(0.125&lt;=E54,(0.2*E54)))</f>
        <v>0.1226</v>
      </c>
      <c r="H55" s="71"/>
      <c r="I55" s="72"/>
      <c r="J55" s="73">
        <v>3.6999999999999998E-2</v>
      </c>
      <c r="K55" s="191"/>
      <c r="L55" s="191"/>
      <c r="M55" s="191"/>
      <c r="N55" s="191"/>
      <c r="O55" s="191"/>
      <c r="P55" s="196"/>
      <c r="Q55" s="53"/>
      <c r="R55" s="53"/>
      <c r="S55" s="53"/>
      <c r="T55" s="53"/>
      <c r="U55" s="53"/>
      <c r="V55" s="53"/>
      <c r="W55" s="53"/>
      <c r="X55" s="53"/>
      <c r="Y55" s="53"/>
      <c r="Z55" s="53"/>
    </row>
    <row r="56" spans="1:26" s="61" customFormat="1" ht="13.5" customHeight="1" x14ac:dyDescent="0.25">
      <c r="A56" s="53"/>
      <c r="B56" s="211"/>
      <c r="C56" s="191"/>
      <c r="D56" s="191"/>
      <c r="E56" s="191"/>
      <c r="F56" s="69" t="s">
        <v>73</v>
      </c>
      <c r="G56" s="70">
        <f t="shared" ref="G56" si="55">+E54*0.4</f>
        <v>0.2452</v>
      </c>
      <c r="H56" s="71"/>
      <c r="I56" s="72"/>
      <c r="J56" s="73">
        <v>0.188</v>
      </c>
      <c r="K56" s="191"/>
      <c r="L56" s="191"/>
      <c r="M56" s="191"/>
      <c r="N56" s="191"/>
      <c r="O56" s="191"/>
      <c r="P56" s="196"/>
      <c r="Q56" s="53"/>
      <c r="R56" s="53"/>
      <c r="S56" s="53"/>
      <c r="T56" s="53"/>
      <c r="U56" s="53"/>
      <c r="V56" s="53"/>
      <c r="W56" s="53"/>
      <c r="X56" s="53"/>
      <c r="Y56" s="53"/>
      <c r="Z56" s="53"/>
    </row>
    <row r="57" spans="1:26" s="61" customFormat="1" ht="13.5" customHeight="1" x14ac:dyDescent="0.25">
      <c r="A57" s="53"/>
      <c r="B57" s="211"/>
      <c r="C57" s="191"/>
      <c r="D57" s="191"/>
      <c r="E57" s="191"/>
      <c r="F57" s="69" t="s">
        <v>74</v>
      </c>
      <c r="G57" s="70">
        <f t="shared" ref="G57" si="56">IF(E54&lt;0.125,"NA",IF(0.125&lt;=E54,(0.8*E54)))</f>
        <v>0.4904</v>
      </c>
      <c r="H57" s="71"/>
      <c r="I57" s="72"/>
      <c r="J57" s="73">
        <v>0.2</v>
      </c>
      <c r="K57" s="191"/>
      <c r="L57" s="191"/>
      <c r="M57" s="191"/>
      <c r="N57" s="191"/>
      <c r="O57" s="191"/>
      <c r="P57" s="196"/>
      <c r="Q57" s="53"/>
      <c r="R57" s="53"/>
      <c r="S57" s="53"/>
      <c r="T57" s="53"/>
      <c r="U57" s="53"/>
      <c r="V57" s="53"/>
      <c r="W57" s="53"/>
      <c r="X57" s="53"/>
      <c r="Y57" s="53"/>
      <c r="Z57" s="53"/>
    </row>
    <row r="58" spans="1:26" s="61" customFormat="1" ht="13.5" customHeight="1" thickBot="1" x14ac:dyDescent="0.3">
      <c r="A58" s="53"/>
      <c r="B58" s="212"/>
      <c r="C58" s="192"/>
      <c r="D58" s="192"/>
      <c r="E58" s="192"/>
      <c r="F58" s="74" t="s">
        <v>75</v>
      </c>
      <c r="G58" s="75">
        <f t="shared" ref="G58" si="57">+E54</f>
        <v>0.61299999999999999</v>
      </c>
      <c r="H58" s="76"/>
      <c r="I58" s="77"/>
      <c r="J58" s="78">
        <v>0.22500000000000001</v>
      </c>
      <c r="K58" s="192"/>
      <c r="L58" s="192"/>
      <c r="M58" s="192"/>
      <c r="N58" s="192"/>
      <c r="O58" s="192"/>
      <c r="P58" s="197"/>
      <c r="Q58" s="53"/>
      <c r="R58" s="53"/>
      <c r="S58" s="53"/>
      <c r="T58" s="53"/>
      <c r="U58" s="53"/>
      <c r="V58" s="53"/>
      <c r="W58" s="53"/>
      <c r="X58" s="53"/>
      <c r="Y58" s="53"/>
      <c r="Z58" s="53"/>
    </row>
    <row r="59" spans="1:26" s="61" customFormat="1" ht="13.5" customHeight="1" x14ac:dyDescent="0.25">
      <c r="A59" s="53"/>
      <c r="B59" s="210">
        <v>9</v>
      </c>
      <c r="C59" s="213">
        <f t="shared" ref="C59" si="58">C54+$N$12</f>
        <v>5.7000000000000011</v>
      </c>
      <c r="D59" s="190">
        <v>0.58499999999999996</v>
      </c>
      <c r="E59" s="190">
        <v>0.55000000000000004</v>
      </c>
      <c r="F59" s="64" t="s">
        <v>71</v>
      </c>
      <c r="G59" s="65">
        <v>0</v>
      </c>
      <c r="H59" s="66"/>
      <c r="I59" s="67"/>
      <c r="J59" s="68">
        <v>0.14099999999999999</v>
      </c>
      <c r="K59" s="190">
        <f t="shared" ref="K59" si="59">+IF(E59&lt;=0.12,(J61),(IF(E59&lt;0.16,((J60+2*J61+J62)/4),IF(E59&gt;=0.16,((J59+3*J60+2*J61+3*J62+J63)/10)))))</f>
        <v>0.28650000000000003</v>
      </c>
      <c r="L59" s="190">
        <f t="shared" ref="L59" si="60">ROUND(+(D54+D59)/2*(C59-C54),3)</f>
        <v>0.20599999999999999</v>
      </c>
      <c r="M59" s="190">
        <f t="shared" ref="M59" si="61">ROUND(+K59*L59,4)</f>
        <v>5.8999999999999997E-2</v>
      </c>
      <c r="N59" s="193">
        <f t="shared" ref="N59" si="62">ROUND(+M59/$M$113*100,2)</f>
        <v>21.3</v>
      </c>
      <c r="O59" s="194"/>
      <c r="P59" s="195"/>
      <c r="Q59" s="53"/>
      <c r="R59" s="53"/>
      <c r="S59" s="53"/>
      <c r="T59" s="53"/>
      <c r="U59" s="53"/>
      <c r="V59" s="53"/>
      <c r="W59" s="53"/>
      <c r="X59" s="53"/>
      <c r="Y59" s="53"/>
      <c r="Z59" s="53"/>
    </row>
    <row r="60" spans="1:26" s="61" customFormat="1" ht="13.5" customHeight="1" x14ac:dyDescent="0.25">
      <c r="A60" s="53"/>
      <c r="B60" s="211"/>
      <c r="C60" s="191"/>
      <c r="D60" s="191"/>
      <c r="E60" s="191"/>
      <c r="F60" s="69" t="s">
        <v>72</v>
      </c>
      <c r="G60" s="70">
        <f t="shared" ref="G60" si="63">IF(E59&lt;0.125,"NA",IF(0.125&lt;=E59,(0.2*E59)))</f>
        <v>0.11000000000000001</v>
      </c>
      <c r="H60" s="71"/>
      <c r="I60" s="72"/>
      <c r="J60" s="73">
        <v>0.251</v>
      </c>
      <c r="K60" s="191"/>
      <c r="L60" s="191"/>
      <c r="M60" s="191"/>
      <c r="N60" s="191"/>
      <c r="O60" s="191"/>
      <c r="P60" s="196"/>
      <c r="Q60" s="53"/>
      <c r="R60" s="53"/>
      <c r="S60" s="53"/>
      <c r="T60" s="53"/>
      <c r="U60" s="53"/>
      <c r="V60" s="53"/>
      <c r="W60" s="53"/>
      <c r="X60" s="53"/>
      <c r="Y60" s="53"/>
      <c r="Z60" s="53"/>
    </row>
    <row r="61" spans="1:26" s="61" customFormat="1" ht="13.5" customHeight="1" x14ac:dyDescent="0.25">
      <c r="A61" s="53"/>
      <c r="B61" s="211"/>
      <c r="C61" s="191"/>
      <c r="D61" s="191"/>
      <c r="E61" s="191"/>
      <c r="F61" s="69" t="s">
        <v>73</v>
      </c>
      <c r="G61" s="70">
        <f t="shared" ref="G61" si="64">+E59*0.4</f>
        <v>0.22000000000000003</v>
      </c>
      <c r="H61" s="71"/>
      <c r="I61" s="72"/>
      <c r="J61" s="73">
        <v>0.22700000000000001</v>
      </c>
      <c r="K61" s="191"/>
      <c r="L61" s="191"/>
      <c r="M61" s="191"/>
      <c r="N61" s="191"/>
      <c r="O61" s="191"/>
      <c r="P61" s="196"/>
      <c r="Q61" s="53"/>
      <c r="R61" s="53"/>
      <c r="S61" s="53"/>
      <c r="T61" s="53"/>
      <c r="U61" s="53"/>
      <c r="V61" s="53"/>
      <c r="W61" s="53"/>
      <c r="X61" s="53"/>
      <c r="Y61" s="53"/>
      <c r="Z61" s="53"/>
    </row>
    <row r="62" spans="1:26" s="61" customFormat="1" ht="13.5" customHeight="1" x14ac:dyDescent="0.25">
      <c r="A62" s="53"/>
      <c r="B62" s="211"/>
      <c r="C62" s="191"/>
      <c r="D62" s="191"/>
      <c r="E62" s="191"/>
      <c r="F62" s="69" t="s">
        <v>74</v>
      </c>
      <c r="G62" s="70">
        <f t="shared" ref="G62" si="65">IF(E59&lt;0.125,"NA",IF(0.125&lt;=E59,(0.8*E59)))</f>
        <v>0.44000000000000006</v>
      </c>
      <c r="H62" s="71"/>
      <c r="I62" s="72"/>
      <c r="J62" s="73">
        <v>0.38500000000000001</v>
      </c>
      <c r="K62" s="191"/>
      <c r="L62" s="191"/>
      <c r="M62" s="191"/>
      <c r="N62" s="191"/>
      <c r="O62" s="191"/>
      <c r="P62" s="196"/>
      <c r="Q62" s="53"/>
      <c r="R62" s="53"/>
      <c r="S62" s="53"/>
      <c r="T62" s="53"/>
      <c r="U62" s="53"/>
      <c r="V62" s="53"/>
      <c r="W62" s="53"/>
      <c r="X62" s="53"/>
      <c r="Y62" s="53"/>
      <c r="Z62" s="53"/>
    </row>
    <row r="63" spans="1:26" s="61" customFormat="1" ht="13.5" customHeight="1" thickBot="1" x14ac:dyDescent="0.3">
      <c r="A63" s="53"/>
      <c r="B63" s="212"/>
      <c r="C63" s="192"/>
      <c r="D63" s="192"/>
      <c r="E63" s="192"/>
      <c r="F63" s="74" t="s">
        <v>75</v>
      </c>
      <c r="G63" s="75">
        <f t="shared" ref="G63" si="66">+E59</f>
        <v>0.55000000000000004</v>
      </c>
      <c r="H63" s="76"/>
      <c r="I63" s="77"/>
      <c r="J63" s="78">
        <v>0.36199999999999999</v>
      </c>
      <c r="K63" s="192"/>
      <c r="L63" s="192"/>
      <c r="M63" s="192"/>
      <c r="N63" s="192"/>
      <c r="O63" s="192"/>
      <c r="P63" s="197"/>
      <c r="Q63" s="53"/>
      <c r="R63" s="53"/>
      <c r="S63" s="53"/>
      <c r="T63" s="53"/>
      <c r="U63" s="53"/>
      <c r="V63" s="53"/>
      <c r="W63" s="53"/>
      <c r="X63" s="53"/>
      <c r="Y63" s="53"/>
      <c r="Z63" s="53"/>
    </row>
    <row r="64" spans="1:26" s="61" customFormat="1" ht="13.5" customHeight="1" x14ac:dyDescent="0.25">
      <c r="A64" s="53"/>
      <c r="B64" s="210">
        <v>10</v>
      </c>
      <c r="C64" s="213">
        <f t="shared" ref="C64" si="67">C59+$N$12</f>
        <v>6.1000000000000014</v>
      </c>
      <c r="D64" s="190">
        <v>0.56000000000000005</v>
      </c>
      <c r="E64" s="190">
        <v>0.68500000000000005</v>
      </c>
      <c r="F64" s="64" t="s">
        <v>71</v>
      </c>
      <c r="G64" s="65">
        <v>0</v>
      </c>
      <c r="H64" s="66"/>
      <c r="I64" s="67"/>
      <c r="J64" s="68"/>
      <c r="K64" s="190"/>
      <c r="L64" s="190"/>
      <c r="M64" s="190"/>
      <c r="N64" s="193"/>
      <c r="O64" s="194"/>
      <c r="P64" s="195"/>
      <c r="Q64" s="53"/>
      <c r="R64" s="53"/>
      <c r="S64" s="53"/>
      <c r="T64" s="53"/>
      <c r="U64" s="53"/>
      <c r="V64" s="53"/>
      <c r="W64" s="53"/>
      <c r="X64" s="53"/>
      <c r="Y64" s="53"/>
      <c r="Z64" s="53"/>
    </row>
    <row r="65" spans="1:26" s="61" customFormat="1" ht="13.5" customHeight="1" x14ac:dyDescent="0.25">
      <c r="A65" s="53"/>
      <c r="B65" s="211"/>
      <c r="C65" s="191"/>
      <c r="D65" s="191"/>
      <c r="E65" s="191"/>
      <c r="F65" s="69" t="s">
        <v>72</v>
      </c>
      <c r="G65" s="70">
        <f t="shared" ref="G65" si="68">IF(E64&lt;0.125,"NA",IF(0.125&lt;=E64,(0.2*E64)))</f>
        <v>0.13700000000000001</v>
      </c>
      <c r="H65" s="71"/>
      <c r="I65" s="72"/>
      <c r="J65" s="73"/>
      <c r="K65" s="191"/>
      <c r="L65" s="191"/>
      <c r="M65" s="191"/>
      <c r="N65" s="191"/>
      <c r="O65" s="191"/>
      <c r="P65" s="196"/>
      <c r="Q65" s="53"/>
      <c r="R65" s="53"/>
      <c r="S65" s="53"/>
      <c r="T65" s="53"/>
      <c r="U65" s="53"/>
      <c r="V65" s="53"/>
      <c r="W65" s="53"/>
      <c r="X65" s="53"/>
      <c r="Y65" s="53"/>
      <c r="Z65" s="53"/>
    </row>
    <row r="66" spans="1:26" s="61" customFormat="1" ht="13.5" customHeight="1" x14ac:dyDescent="0.25">
      <c r="A66" s="53"/>
      <c r="B66" s="211"/>
      <c r="C66" s="191"/>
      <c r="D66" s="191"/>
      <c r="E66" s="191"/>
      <c r="F66" s="69" t="s">
        <v>73</v>
      </c>
      <c r="G66" s="70">
        <f t="shared" ref="G66" si="69">+E64*0.4</f>
        <v>0.27400000000000002</v>
      </c>
      <c r="H66" s="71"/>
      <c r="I66" s="72"/>
      <c r="J66" s="73"/>
      <c r="K66" s="191"/>
      <c r="L66" s="191"/>
      <c r="M66" s="191"/>
      <c r="N66" s="191"/>
      <c r="O66" s="191"/>
      <c r="P66" s="196"/>
      <c r="Q66" s="53"/>
      <c r="R66" s="53"/>
      <c r="S66" s="53"/>
      <c r="T66" s="53"/>
      <c r="U66" s="53"/>
      <c r="V66" s="53"/>
      <c r="W66" s="53"/>
      <c r="X66" s="53"/>
      <c r="Y66" s="53"/>
      <c r="Z66" s="53"/>
    </row>
    <row r="67" spans="1:26" s="61" customFormat="1" ht="13.5" customHeight="1" x14ac:dyDescent="0.25">
      <c r="A67" s="53"/>
      <c r="B67" s="211"/>
      <c r="C67" s="191"/>
      <c r="D67" s="191"/>
      <c r="E67" s="191"/>
      <c r="F67" s="69" t="s">
        <v>74</v>
      </c>
      <c r="G67" s="70">
        <f t="shared" ref="G67" si="70">IF(E64&lt;0.125,"NA",IF(0.125&lt;=E64,(0.8*E64)))</f>
        <v>0.54800000000000004</v>
      </c>
      <c r="H67" s="71"/>
      <c r="I67" s="72"/>
      <c r="J67" s="73"/>
      <c r="K67" s="191"/>
      <c r="L67" s="191"/>
      <c r="M67" s="191"/>
      <c r="N67" s="191"/>
      <c r="O67" s="191"/>
      <c r="P67" s="196"/>
      <c r="Q67" s="53"/>
      <c r="R67" s="53"/>
      <c r="S67" s="53"/>
      <c r="T67" s="53"/>
      <c r="U67" s="53"/>
      <c r="V67" s="53"/>
      <c r="W67" s="53"/>
      <c r="X67" s="53"/>
      <c r="Y67" s="53"/>
      <c r="Z67" s="53"/>
    </row>
    <row r="68" spans="1:26" s="61" customFormat="1" ht="13.5" customHeight="1" thickBot="1" x14ac:dyDescent="0.3">
      <c r="A68" s="53"/>
      <c r="B68" s="212"/>
      <c r="C68" s="192"/>
      <c r="D68" s="192"/>
      <c r="E68" s="192"/>
      <c r="F68" s="74" t="s">
        <v>75</v>
      </c>
      <c r="G68" s="75">
        <f t="shared" ref="G68" si="71">+E64</f>
        <v>0.68500000000000005</v>
      </c>
      <c r="H68" s="76"/>
      <c r="I68" s="77"/>
      <c r="J68" s="78"/>
      <c r="K68" s="192"/>
      <c r="L68" s="192"/>
      <c r="M68" s="192"/>
      <c r="N68" s="192"/>
      <c r="O68" s="192"/>
      <c r="P68" s="197"/>
      <c r="Q68" s="53"/>
      <c r="R68" s="53"/>
      <c r="S68" s="53"/>
      <c r="T68" s="53"/>
      <c r="U68" s="53"/>
      <c r="V68" s="53"/>
      <c r="W68" s="53"/>
      <c r="X68" s="53"/>
      <c r="Y68" s="53"/>
      <c r="Z68" s="53"/>
    </row>
    <row r="69" spans="1:26" s="61" customFormat="1" ht="13.5" customHeight="1" x14ac:dyDescent="0.25">
      <c r="A69" s="53"/>
      <c r="B69" s="210">
        <v>11</v>
      </c>
      <c r="C69" s="213">
        <f t="shared" ref="C69" si="72">C64+$N$12</f>
        <v>6.5000000000000018</v>
      </c>
      <c r="D69" s="190">
        <v>0.53</v>
      </c>
      <c r="E69" s="190">
        <v>0.53</v>
      </c>
      <c r="F69" s="64" t="s">
        <v>71</v>
      </c>
      <c r="G69" s="65">
        <v>0</v>
      </c>
      <c r="H69" s="66"/>
      <c r="I69" s="67"/>
      <c r="J69" s="68">
        <v>6.5000000000000002E-2</v>
      </c>
      <c r="K69" s="190">
        <f t="shared" ref="K69" si="73">+IF(E69&lt;=0.12,(J71),(IF(E69&lt;0.16,((J70+2*J71+J72)/4),IF(E69&gt;=0.16,((J69+3*J70+2*J71+3*J72+J73)/10)))))</f>
        <v>0.1389</v>
      </c>
      <c r="L69" s="190">
        <f t="shared" ref="L69" si="74">ROUND(+(D64+D69)/2*(C69-C64),3)</f>
        <v>0.218</v>
      </c>
      <c r="M69" s="190">
        <f t="shared" ref="M69" si="75">ROUND(+K69*L69,4)</f>
        <v>3.0300000000000001E-2</v>
      </c>
      <c r="N69" s="193">
        <f t="shared" ref="N69" si="76">ROUND(+M69/$M$113*100,2)</f>
        <v>10.94</v>
      </c>
      <c r="O69" s="194"/>
      <c r="P69" s="195"/>
      <c r="Q69" s="53"/>
      <c r="R69" s="53"/>
      <c r="S69" s="53"/>
      <c r="T69" s="53"/>
      <c r="U69" s="53"/>
      <c r="V69" s="53"/>
      <c r="W69" s="53"/>
      <c r="X69" s="53"/>
      <c r="Y69" s="53"/>
      <c r="Z69" s="53"/>
    </row>
    <row r="70" spans="1:26" s="61" customFormat="1" ht="13.5" customHeight="1" x14ac:dyDescent="0.25">
      <c r="A70" s="53"/>
      <c r="B70" s="211"/>
      <c r="C70" s="191"/>
      <c r="D70" s="191"/>
      <c r="E70" s="191"/>
      <c r="F70" s="69" t="s">
        <v>72</v>
      </c>
      <c r="G70" s="70">
        <f t="shared" ref="G70" si="77">IF(E69&lt;0.125,"NA",IF(0.125&lt;=E69,(0.2*E69)))</f>
        <v>0.10600000000000001</v>
      </c>
      <c r="H70" s="71"/>
      <c r="I70" s="72"/>
      <c r="J70" s="73">
        <v>0.109</v>
      </c>
      <c r="K70" s="191"/>
      <c r="L70" s="191"/>
      <c r="M70" s="191"/>
      <c r="N70" s="191"/>
      <c r="O70" s="191"/>
      <c r="P70" s="196"/>
      <c r="Q70" s="53"/>
      <c r="R70" s="53"/>
      <c r="S70" s="53"/>
      <c r="T70" s="53"/>
      <c r="U70" s="53"/>
      <c r="V70" s="53"/>
      <c r="W70" s="53"/>
      <c r="X70" s="53"/>
      <c r="Y70" s="53"/>
      <c r="Z70" s="53"/>
    </row>
    <row r="71" spans="1:26" s="61" customFormat="1" ht="13.5" customHeight="1" x14ac:dyDescent="0.25">
      <c r="A71" s="53"/>
      <c r="B71" s="211"/>
      <c r="C71" s="191"/>
      <c r="D71" s="191"/>
      <c r="E71" s="191"/>
      <c r="F71" s="69" t="s">
        <v>73</v>
      </c>
      <c r="G71" s="70">
        <f t="shared" ref="G71" si="78">+E69*0.4</f>
        <v>0.21200000000000002</v>
      </c>
      <c r="H71" s="71"/>
      <c r="I71" s="72"/>
      <c r="J71" s="73">
        <v>0.154</v>
      </c>
      <c r="K71" s="191"/>
      <c r="L71" s="191"/>
      <c r="M71" s="191"/>
      <c r="N71" s="191"/>
      <c r="O71" s="191"/>
      <c r="P71" s="196"/>
      <c r="Q71" s="53"/>
      <c r="R71" s="53"/>
      <c r="S71" s="53"/>
      <c r="T71" s="53"/>
      <c r="U71" s="53"/>
      <c r="V71" s="53"/>
      <c r="W71" s="53"/>
      <c r="X71" s="53"/>
      <c r="Y71" s="53"/>
      <c r="Z71" s="53"/>
    </row>
    <row r="72" spans="1:26" s="61" customFormat="1" ht="13.5" customHeight="1" x14ac:dyDescent="0.25">
      <c r="A72" s="53"/>
      <c r="B72" s="211"/>
      <c r="C72" s="191"/>
      <c r="D72" s="191"/>
      <c r="E72" s="191"/>
      <c r="F72" s="69" t="s">
        <v>74</v>
      </c>
      <c r="G72" s="70">
        <f t="shared" ref="G72" si="79">IF(E69&lt;0.125,"NA",IF(0.125&lt;=E69,(0.8*E69)))</f>
        <v>0.42400000000000004</v>
      </c>
      <c r="H72" s="71"/>
      <c r="I72" s="72"/>
      <c r="J72" s="73">
        <v>0.11</v>
      </c>
      <c r="K72" s="191"/>
      <c r="L72" s="191"/>
      <c r="M72" s="191"/>
      <c r="N72" s="191"/>
      <c r="O72" s="191"/>
      <c r="P72" s="196"/>
      <c r="Q72" s="53"/>
      <c r="R72" s="53"/>
      <c r="S72" s="53"/>
      <c r="T72" s="53"/>
      <c r="U72" s="53"/>
      <c r="V72" s="53"/>
      <c r="W72" s="53"/>
      <c r="X72" s="53"/>
      <c r="Y72" s="53"/>
      <c r="Z72" s="53"/>
    </row>
    <row r="73" spans="1:26" s="61" customFormat="1" ht="13.5" customHeight="1" thickBot="1" x14ac:dyDescent="0.3">
      <c r="A73" s="53"/>
      <c r="B73" s="212"/>
      <c r="C73" s="192"/>
      <c r="D73" s="192"/>
      <c r="E73" s="192"/>
      <c r="F73" s="74" t="s">
        <v>75</v>
      </c>
      <c r="G73" s="75">
        <f t="shared" ref="G73" si="80">+E69</f>
        <v>0.53</v>
      </c>
      <c r="H73" s="76"/>
      <c r="I73" s="77"/>
      <c r="J73" s="78">
        <v>0.35899999999999999</v>
      </c>
      <c r="K73" s="192"/>
      <c r="L73" s="192"/>
      <c r="M73" s="192"/>
      <c r="N73" s="192"/>
      <c r="O73" s="192"/>
      <c r="P73" s="197"/>
      <c r="Q73" s="53"/>
      <c r="R73" s="53"/>
      <c r="S73" s="53"/>
      <c r="T73" s="53"/>
      <c r="U73" s="53"/>
      <c r="V73" s="53"/>
      <c r="W73" s="53"/>
      <c r="X73" s="53"/>
      <c r="Y73" s="53"/>
      <c r="Z73" s="53"/>
    </row>
    <row r="74" spans="1:26" s="61" customFormat="1" ht="13.5" customHeight="1" x14ac:dyDescent="0.25">
      <c r="A74" s="53"/>
      <c r="B74" s="210">
        <v>12</v>
      </c>
      <c r="C74" s="213">
        <f t="shared" ref="C74" si="81">C69+$N$12</f>
        <v>6.9000000000000021</v>
      </c>
      <c r="D74" s="190">
        <v>0.43</v>
      </c>
      <c r="E74" s="190">
        <v>0.49</v>
      </c>
      <c r="F74" s="64" t="s">
        <v>71</v>
      </c>
      <c r="G74" s="65">
        <v>0</v>
      </c>
      <c r="H74" s="66"/>
      <c r="I74" s="67"/>
      <c r="J74" s="68">
        <v>3.4000000000000002E-2</v>
      </c>
      <c r="K74" s="190">
        <f t="shared" ref="K74" si="82">+IF(E74&lt;=0.12,(J76),(IF(E74&lt;0.16,((J75+2*J76+J77)/4),IF(E74&gt;=0.16,((J74+3*J75+2*J76+3*J77+J78)/10)))))</f>
        <v>1.5500000000000003E-2</v>
      </c>
      <c r="L74" s="190">
        <f t="shared" ref="L74" si="83">ROUND(+(D69+D74)/2*(C74-C69),3)</f>
        <v>0.192</v>
      </c>
      <c r="M74" s="190">
        <f t="shared" ref="M74" si="84">ROUND(+K74*L74,4)</f>
        <v>3.0000000000000001E-3</v>
      </c>
      <c r="N74" s="193">
        <f t="shared" ref="N74" si="85">ROUND(+M74/$M$113*100,2)</f>
        <v>1.08</v>
      </c>
      <c r="O74" s="194"/>
      <c r="P74" s="195"/>
      <c r="Q74" s="53"/>
      <c r="R74" s="53"/>
      <c r="S74" s="53"/>
      <c r="T74" s="53"/>
      <c r="U74" s="53"/>
      <c r="V74" s="53"/>
      <c r="W74" s="53"/>
      <c r="X74" s="53"/>
      <c r="Y74" s="53"/>
      <c r="Z74" s="53"/>
    </row>
    <row r="75" spans="1:26" s="61" customFormat="1" ht="13.5" customHeight="1" x14ac:dyDescent="0.25">
      <c r="A75" s="53"/>
      <c r="B75" s="211"/>
      <c r="C75" s="191"/>
      <c r="D75" s="191"/>
      <c r="E75" s="191"/>
      <c r="F75" s="69" t="s">
        <v>72</v>
      </c>
      <c r="G75" s="70">
        <f t="shared" ref="G75" si="86">IF(E74&lt;0.125,"NA",IF(0.125&lt;=E74,(0.2*E74)))</f>
        <v>9.8000000000000004E-2</v>
      </c>
      <c r="H75" s="71"/>
      <c r="I75" s="72"/>
      <c r="J75" s="73">
        <v>3.0000000000000001E-3</v>
      </c>
      <c r="K75" s="191"/>
      <c r="L75" s="191"/>
      <c r="M75" s="191"/>
      <c r="N75" s="191"/>
      <c r="O75" s="191"/>
      <c r="P75" s="196"/>
      <c r="Q75" s="53"/>
      <c r="R75" s="53"/>
      <c r="S75" s="53"/>
      <c r="T75" s="53"/>
      <c r="U75" s="53"/>
      <c r="V75" s="53"/>
      <c r="W75" s="53"/>
      <c r="X75" s="53"/>
      <c r="Y75" s="53"/>
      <c r="Z75" s="53"/>
    </row>
    <row r="76" spans="1:26" s="61" customFormat="1" ht="13.5" customHeight="1" x14ac:dyDescent="0.25">
      <c r="A76" s="53"/>
      <c r="B76" s="211"/>
      <c r="C76" s="191"/>
      <c r="D76" s="191"/>
      <c r="E76" s="191"/>
      <c r="F76" s="69" t="s">
        <v>73</v>
      </c>
      <c r="G76" s="70">
        <f t="shared" ref="G76" si="87">+E74*0.4</f>
        <v>0.19600000000000001</v>
      </c>
      <c r="H76" s="71"/>
      <c r="I76" s="72"/>
      <c r="J76" s="73">
        <v>0.03</v>
      </c>
      <c r="K76" s="191"/>
      <c r="L76" s="191"/>
      <c r="M76" s="191"/>
      <c r="N76" s="191"/>
      <c r="O76" s="191"/>
      <c r="P76" s="196"/>
      <c r="Q76" s="53"/>
      <c r="R76" s="53"/>
      <c r="S76" s="53"/>
      <c r="T76" s="53"/>
      <c r="U76" s="53"/>
      <c r="V76" s="53"/>
      <c r="W76" s="53"/>
      <c r="X76" s="53"/>
      <c r="Y76" s="53"/>
      <c r="Z76" s="53"/>
    </row>
    <row r="77" spans="1:26" s="61" customFormat="1" ht="13.5" customHeight="1" x14ac:dyDescent="0.25">
      <c r="A77" s="53"/>
      <c r="B77" s="211"/>
      <c r="C77" s="191"/>
      <c r="D77" s="191"/>
      <c r="E77" s="191"/>
      <c r="F77" s="69" t="s">
        <v>74</v>
      </c>
      <c r="G77" s="70">
        <f t="shared" ref="G77" si="88">IF(E74&lt;0.125,"NA",IF(0.125&lt;=E74,(0.8*E74)))</f>
        <v>0.39200000000000002</v>
      </c>
      <c r="H77" s="71"/>
      <c r="I77" s="72"/>
      <c r="J77" s="73">
        <v>7.0000000000000001E-3</v>
      </c>
      <c r="K77" s="191"/>
      <c r="L77" s="191"/>
      <c r="M77" s="191"/>
      <c r="N77" s="191"/>
      <c r="O77" s="191"/>
      <c r="P77" s="196"/>
      <c r="Q77" s="53"/>
      <c r="R77" s="53"/>
      <c r="S77" s="53"/>
      <c r="T77" s="53"/>
      <c r="U77" s="53"/>
      <c r="V77" s="53"/>
      <c r="W77" s="53"/>
      <c r="X77" s="53"/>
      <c r="Y77" s="53"/>
      <c r="Z77" s="53"/>
    </row>
    <row r="78" spans="1:26" s="61" customFormat="1" ht="13.5" customHeight="1" thickBot="1" x14ac:dyDescent="0.3">
      <c r="A78" s="53"/>
      <c r="B78" s="212"/>
      <c r="C78" s="192"/>
      <c r="D78" s="192"/>
      <c r="E78" s="192"/>
      <c r="F78" s="74" t="s">
        <v>75</v>
      </c>
      <c r="G78" s="75">
        <f t="shared" ref="G78" si="89">+E74</f>
        <v>0.49</v>
      </c>
      <c r="H78" s="76"/>
      <c r="I78" s="77"/>
      <c r="J78" s="78">
        <v>3.1E-2</v>
      </c>
      <c r="K78" s="192"/>
      <c r="L78" s="192"/>
      <c r="M78" s="192"/>
      <c r="N78" s="192"/>
      <c r="O78" s="192"/>
      <c r="P78" s="197"/>
      <c r="Q78" s="53"/>
      <c r="R78" s="53"/>
      <c r="S78" s="53"/>
      <c r="T78" s="53"/>
      <c r="U78" s="53"/>
      <c r="V78" s="53"/>
      <c r="W78" s="53"/>
      <c r="X78" s="53"/>
      <c r="Y78" s="53"/>
      <c r="Z78" s="53"/>
    </row>
    <row r="79" spans="1:26" s="61" customFormat="1" ht="13.5" customHeight="1" x14ac:dyDescent="0.25">
      <c r="A79" s="53"/>
      <c r="B79" s="210">
        <v>13</v>
      </c>
      <c r="C79" s="213">
        <f t="shared" ref="C79" si="90">C74+$N$12</f>
        <v>7.3000000000000025</v>
      </c>
      <c r="D79" s="190">
        <v>0.32</v>
      </c>
      <c r="E79" s="190">
        <v>0.35</v>
      </c>
      <c r="F79" s="64" t="s">
        <v>71</v>
      </c>
      <c r="G79" s="65">
        <v>0</v>
      </c>
      <c r="H79" s="66"/>
      <c r="I79" s="67"/>
      <c r="J79" s="68">
        <v>3.2000000000000001E-2</v>
      </c>
      <c r="K79" s="190">
        <f t="shared" ref="K79" si="91">+IF(E79&lt;=0.12,(J81),(IF(E79&lt;0.16,((J80+2*J81+J82)/4),IF(E79&gt;=0.16,((J79+3*J80+2*J81+3*J82+J83)/10)))))</f>
        <v>4.8200000000000007E-2</v>
      </c>
      <c r="L79" s="190">
        <f t="shared" ref="L79" si="92">ROUND(+(D74+D79)/2*(C79-C74),3)</f>
        <v>0.15</v>
      </c>
      <c r="M79" s="190">
        <f t="shared" ref="M79" si="93">ROUND(+K79*L79,4)</f>
        <v>7.1999999999999998E-3</v>
      </c>
      <c r="N79" s="193">
        <f t="shared" ref="N79" si="94">ROUND(+M79/$M$113*100,2)</f>
        <v>2.6</v>
      </c>
      <c r="O79" s="194"/>
      <c r="P79" s="195"/>
      <c r="Q79" s="53"/>
      <c r="R79" s="53"/>
      <c r="S79" s="53"/>
      <c r="T79" s="53"/>
      <c r="U79" s="53"/>
      <c r="V79" s="53"/>
      <c r="W79" s="53"/>
      <c r="X79" s="53"/>
      <c r="Y79" s="53"/>
      <c r="Z79" s="53"/>
    </row>
    <row r="80" spans="1:26" s="61" customFormat="1" ht="13.5" customHeight="1" x14ac:dyDescent="0.25">
      <c r="A80" s="53"/>
      <c r="B80" s="211"/>
      <c r="C80" s="191"/>
      <c r="D80" s="191"/>
      <c r="E80" s="191"/>
      <c r="F80" s="69" t="s">
        <v>72</v>
      </c>
      <c r="G80" s="70">
        <f t="shared" ref="G80" si="95">IF(E79&lt;0.125,"NA",IF(0.125&lt;=E79,(0.2*E79)))</f>
        <v>6.9999999999999993E-2</v>
      </c>
      <c r="H80" s="71"/>
      <c r="I80" s="72"/>
      <c r="J80" s="73">
        <v>2.3E-2</v>
      </c>
      <c r="K80" s="191"/>
      <c r="L80" s="191"/>
      <c r="M80" s="191"/>
      <c r="N80" s="191"/>
      <c r="O80" s="191"/>
      <c r="P80" s="196"/>
      <c r="Q80" s="53"/>
      <c r="R80" s="53"/>
      <c r="S80" s="53"/>
      <c r="T80" s="53"/>
      <c r="U80" s="53"/>
      <c r="V80" s="53"/>
      <c r="W80" s="53"/>
      <c r="X80" s="53"/>
      <c r="Y80" s="53"/>
      <c r="Z80" s="53"/>
    </row>
    <row r="81" spans="1:26" s="61" customFormat="1" ht="13.5" customHeight="1" x14ac:dyDescent="0.25">
      <c r="A81" s="53"/>
      <c r="B81" s="211"/>
      <c r="C81" s="191"/>
      <c r="D81" s="191"/>
      <c r="E81" s="191"/>
      <c r="F81" s="69" t="s">
        <v>73</v>
      </c>
      <c r="G81" s="70">
        <f t="shared" ref="G81" si="96">+E79*0.4</f>
        <v>0.13999999999999999</v>
      </c>
      <c r="H81" s="71"/>
      <c r="I81" s="72"/>
      <c r="J81" s="73">
        <v>4.1000000000000002E-2</v>
      </c>
      <c r="K81" s="191"/>
      <c r="L81" s="191"/>
      <c r="M81" s="191"/>
      <c r="N81" s="191"/>
      <c r="O81" s="191"/>
      <c r="P81" s="196"/>
      <c r="Q81" s="53"/>
      <c r="R81" s="53"/>
      <c r="S81" s="53"/>
      <c r="T81" s="53"/>
      <c r="U81" s="53"/>
      <c r="V81" s="53"/>
      <c r="W81" s="53"/>
      <c r="X81" s="53"/>
      <c r="Y81" s="53"/>
      <c r="Z81" s="53"/>
    </row>
    <row r="82" spans="1:26" s="61" customFormat="1" ht="13.5" customHeight="1" x14ac:dyDescent="0.25">
      <c r="A82" s="53"/>
      <c r="B82" s="211"/>
      <c r="C82" s="191"/>
      <c r="D82" s="191"/>
      <c r="E82" s="191"/>
      <c r="F82" s="69" t="s">
        <v>74</v>
      </c>
      <c r="G82" s="70">
        <f t="shared" ref="G82" si="97">IF(E79&lt;0.125,"NA",IF(0.125&lt;=E79,(0.8*E79)))</f>
        <v>0.27999999999999997</v>
      </c>
      <c r="H82" s="71"/>
      <c r="I82" s="72"/>
      <c r="J82" s="73">
        <v>9.8000000000000004E-2</v>
      </c>
      <c r="K82" s="191"/>
      <c r="L82" s="191"/>
      <c r="M82" s="191"/>
      <c r="N82" s="191"/>
      <c r="O82" s="191"/>
      <c r="P82" s="196"/>
      <c r="Q82" s="53"/>
      <c r="R82" s="53"/>
      <c r="S82" s="53"/>
      <c r="T82" s="53"/>
      <c r="U82" s="53"/>
      <c r="V82" s="53"/>
      <c r="W82" s="53"/>
      <c r="X82" s="53"/>
      <c r="Y82" s="53"/>
      <c r="Z82" s="53"/>
    </row>
    <row r="83" spans="1:26" s="61" customFormat="1" ht="13.5" customHeight="1" thickBot="1" x14ac:dyDescent="0.3">
      <c r="A83" s="53"/>
      <c r="B83" s="212"/>
      <c r="C83" s="192"/>
      <c r="D83" s="192"/>
      <c r="E83" s="192"/>
      <c r="F83" s="74" t="s">
        <v>75</v>
      </c>
      <c r="G83" s="75">
        <f t="shared" ref="G83" si="98">+E79</f>
        <v>0.35</v>
      </c>
      <c r="H83" s="76"/>
      <c r="I83" s="77"/>
      <c r="J83" s="78">
        <v>5.0000000000000001E-3</v>
      </c>
      <c r="K83" s="192"/>
      <c r="L83" s="192"/>
      <c r="M83" s="192"/>
      <c r="N83" s="192"/>
      <c r="O83" s="192"/>
      <c r="P83" s="197"/>
      <c r="Q83" s="53"/>
      <c r="R83" s="53"/>
      <c r="S83" s="53"/>
      <c r="T83" s="53"/>
      <c r="U83" s="53"/>
      <c r="V83" s="53"/>
      <c r="W83" s="53"/>
      <c r="X83" s="53"/>
      <c r="Y83" s="53"/>
      <c r="Z83" s="53"/>
    </row>
    <row r="84" spans="1:26" s="61" customFormat="1" ht="13.5" customHeight="1" x14ac:dyDescent="0.25">
      <c r="A84" s="53"/>
      <c r="B84" s="210">
        <v>14</v>
      </c>
      <c r="C84" s="213">
        <f t="shared" ref="C84" si="99">C79+$N$12</f>
        <v>7.7000000000000028</v>
      </c>
      <c r="D84" s="190">
        <v>0.17</v>
      </c>
      <c r="E84" s="190">
        <v>0.28000000000000003</v>
      </c>
      <c r="F84" s="64" t="s">
        <v>71</v>
      </c>
      <c r="G84" s="65">
        <v>0</v>
      </c>
      <c r="H84" s="66"/>
      <c r="I84" s="67"/>
      <c r="J84" s="68">
        <v>4.3999999999999997E-2</v>
      </c>
      <c r="K84" s="190">
        <f t="shared" ref="K84" si="100">+IF(E84&lt;=0.12,(J86),(IF(E84&lt;0.16,((J85+2*J86+J87)/4),IF(E84&gt;=0.16,((J84+3*J85+2*J86+3*J87+J88)/10)))))</f>
        <v>7.9499999999999987E-2</v>
      </c>
      <c r="L84" s="190">
        <f t="shared" ref="L84" si="101">ROUND(+(D79+D84)/2*(C84-C79),3)</f>
        <v>9.8000000000000004E-2</v>
      </c>
      <c r="M84" s="190">
        <f t="shared" ref="M84" si="102">ROUND(+K84*L84,4)</f>
        <v>7.7999999999999996E-3</v>
      </c>
      <c r="N84" s="193">
        <f t="shared" ref="N84" si="103">ROUND(+M84/$M$113*100,2)</f>
        <v>2.82</v>
      </c>
      <c r="O84" s="194"/>
      <c r="P84" s="195"/>
      <c r="Q84" s="53"/>
      <c r="R84" s="53"/>
      <c r="S84" s="53"/>
      <c r="T84" s="53"/>
      <c r="U84" s="53"/>
      <c r="V84" s="53"/>
      <c r="W84" s="53"/>
      <c r="X84" s="53"/>
      <c r="Y84" s="53"/>
      <c r="Z84" s="53"/>
    </row>
    <row r="85" spans="1:26" s="61" customFormat="1" ht="13.5" customHeight="1" x14ac:dyDescent="0.25">
      <c r="A85" s="53"/>
      <c r="B85" s="211"/>
      <c r="C85" s="191"/>
      <c r="D85" s="191"/>
      <c r="E85" s="191"/>
      <c r="F85" s="69" t="s">
        <v>72</v>
      </c>
      <c r="G85" s="70">
        <f t="shared" ref="G85" si="104">IF(E84&lt;0.125,"NA",IF(0.125&lt;=E84,(0.2*E84)))</f>
        <v>5.6000000000000008E-2</v>
      </c>
      <c r="H85" s="71"/>
      <c r="I85" s="72"/>
      <c r="J85" s="73">
        <v>6.8000000000000005E-2</v>
      </c>
      <c r="K85" s="191"/>
      <c r="L85" s="191"/>
      <c r="M85" s="191"/>
      <c r="N85" s="191"/>
      <c r="O85" s="191"/>
      <c r="P85" s="196"/>
      <c r="Q85" s="53"/>
      <c r="R85" s="53"/>
      <c r="S85" s="53"/>
      <c r="T85" s="53"/>
      <c r="U85" s="53"/>
      <c r="V85" s="53"/>
      <c r="W85" s="53"/>
      <c r="X85" s="53"/>
      <c r="Y85" s="53"/>
      <c r="Z85" s="53"/>
    </row>
    <row r="86" spans="1:26" s="61" customFormat="1" ht="13.5" customHeight="1" x14ac:dyDescent="0.25">
      <c r="A86" s="53"/>
      <c r="B86" s="211"/>
      <c r="C86" s="191"/>
      <c r="D86" s="191"/>
      <c r="E86" s="191"/>
      <c r="F86" s="69" t="s">
        <v>73</v>
      </c>
      <c r="G86" s="70">
        <f t="shared" ref="G86" si="105">+E84*0.4</f>
        <v>0.11200000000000002</v>
      </c>
      <c r="H86" s="71"/>
      <c r="I86" s="72"/>
      <c r="J86" s="73">
        <v>0.109</v>
      </c>
      <c r="K86" s="191"/>
      <c r="L86" s="191"/>
      <c r="M86" s="191"/>
      <c r="N86" s="191"/>
      <c r="O86" s="191"/>
      <c r="P86" s="196"/>
      <c r="Q86" s="53"/>
      <c r="R86" s="53"/>
      <c r="S86" s="53"/>
      <c r="T86" s="53"/>
      <c r="U86" s="53"/>
      <c r="V86" s="53"/>
      <c r="W86" s="53"/>
      <c r="X86" s="53"/>
      <c r="Y86" s="53"/>
      <c r="Z86" s="53"/>
    </row>
    <row r="87" spans="1:26" s="61" customFormat="1" ht="13.5" customHeight="1" x14ac:dyDescent="0.25">
      <c r="A87" s="53"/>
      <c r="B87" s="211"/>
      <c r="C87" s="191"/>
      <c r="D87" s="191"/>
      <c r="E87" s="191"/>
      <c r="F87" s="69" t="s">
        <v>74</v>
      </c>
      <c r="G87" s="70">
        <f t="shared" ref="G87" si="106">IF(E84&lt;0.125,"NA",IF(0.125&lt;=E84,(0.8*E84)))</f>
        <v>0.22400000000000003</v>
      </c>
      <c r="H87" s="71"/>
      <c r="I87" s="72"/>
      <c r="J87" s="73">
        <v>8.3000000000000004E-2</v>
      </c>
      <c r="K87" s="191"/>
      <c r="L87" s="191"/>
      <c r="M87" s="191"/>
      <c r="N87" s="191"/>
      <c r="O87" s="191"/>
      <c r="P87" s="196"/>
      <c r="Q87" s="53"/>
      <c r="R87" s="53"/>
      <c r="S87" s="53"/>
      <c r="T87" s="53"/>
      <c r="U87" s="53"/>
      <c r="V87" s="53"/>
      <c r="W87" s="53"/>
      <c r="X87" s="53"/>
      <c r="Y87" s="53"/>
      <c r="Z87" s="53"/>
    </row>
    <row r="88" spans="1:26" s="61" customFormat="1" ht="13.5" customHeight="1" thickBot="1" x14ac:dyDescent="0.3">
      <c r="A88" s="53"/>
      <c r="B88" s="212"/>
      <c r="C88" s="192"/>
      <c r="D88" s="192"/>
      <c r="E88" s="192"/>
      <c r="F88" s="74" t="s">
        <v>75</v>
      </c>
      <c r="G88" s="75">
        <f t="shared" ref="G88" si="107">+E84</f>
        <v>0.28000000000000003</v>
      </c>
      <c r="H88" s="76"/>
      <c r="I88" s="77"/>
      <c r="J88" s="78">
        <v>0.08</v>
      </c>
      <c r="K88" s="192"/>
      <c r="L88" s="192"/>
      <c r="M88" s="192"/>
      <c r="N88" s="192"/>
      <c r="O88" s="192"/>
      <c r="P88" s="197"/>
      <c r="Q88" s="53"/>
      <c r="R88" s="53"/>
      <c r="S88" s="53"/>
      <c r="T88" s="53"/>
      <c r="U88" s="53"/>
      <c r="V88" s="53"/>
      <c r="W88" s="53"/>
      <c r="X88" s="53"/>
      <c r="Y88" s="53"/>
      <c r="Z88" s="53"/>
    </row>
    <row r="89" spans="1:26" s="61" customFormat="1" ht="13.5" customHeight="1" x14ac:dyDescent="0.25">
      <c r="A89" s="53"/>
      <c r="B89" s="210">
        <v>15</v>
      </c>
      <c r="C89" s="213">
        <f>C84+0.5</f>
        <v>8.2000000000000028</v>
      </c>
      <c r="D89" s="190">
        <v>0.20499999999999999</v>
      </c>
      <c r="E89" s="190">
        <v>0.28000000000000003</v>
      </c>
      <c r="F89" s="64" t="s">
        <v>71</v>
      </c>
      <c r="G89" s="65">
        <v>0</v>
      </c>
      <c r="H89" s="66"/>
      <c r="I89" s="67"/>
      <c r="J89" s="68">
        <v>8.9999999999999993E-3</v>
      </c>
      <c r="K89" s="190">
        <f t="shared" ref="K89" si="108">+IF(E89&lt;=0.12,(J91),(IF(E89&lt;0.16,((J90+2*J91+J92)/4),IF(E89&gt;=0.16,((J89+3*J90+2*J91+3*J92+J93)/10)))))</f>
        <v>3.3500000000000002E-2</v>
      </c>
      <c r="L89" s="190">
        <f t="shared" ref="L89" si="109">ROUND(+(D84+D89)/2*(C89-C84),3)</f>
        <v>9.4E-2</v>
      </c>
      <c r="M89" s="190">
        <f t="shared" ref="M89" si="110">ROUND(+K89*L89,4)</f>
        <v>3.0999999999999999E-3</v>
      </c>
      <c r="N89" s="193">
        <f t="shared" ref="N89" si="111">ROUND(+M89/$M$113*100,2)</f>
        <v>1.1200000000000001</v>
      </c>
      <c r="O89" s="194"/>
      <c r="P89" s="195"/>
      <c r="Q89" s="53"/>
      <c r="R89" s="53"/>
      <c r="S89" s="53"/>
      <c r="T89" s="53"/>
      <c r="U89" s="53"/>
      <c r="V89" s="53"/>
      <c r="W89" s="53"/>
      <c r="X89" s="53"/>
      <c r="Y89" s="53"/>
      <c r="Z89" s="53"/>
    </row>
    <row r="90" spans="1:26" s="61" customFormat="1" ht="13.5" customHeight="1" x14ac:dyDescent="0.25">
      <c r="A90" s="53"/>
      <c r="B90" s="211"/>
      <c r="C90" s="191"/>
      <c r="D90" s="191"/>
      <c r="E90" s="191"/>
      <c r="F90" s="69" t="s">
        <v>72</v>
      </c>
      <c r="G90" s="70">
        <f t="shared" ref="G90" si="112">IF(E89&lt;0.125,"NA",IF(0.125&lt;=E89,(0.2*E89)))</f>
        <v>5.6000000000000008E-2</v>
      </c>
      <c r="H90" s="71"/>
      <c r="I90" s="72"/>
      <c r="J90" s="73">
        <v>2.1999999999999999E-2</v>
      </c>
      <c r="K90" s="191"/>
      <c r="L90" s="191"/>
      <c r="M90" s="191"/>
      <c r="N90" s="191"/>
      <c r="O90" s="191"/>
      <c r="P90" s="196"/>
      <c r="Q90" s="53"/>
      <c r="R90" s="53"/>
      <c r="S90" s="53"/>
      <c r="T90" s="53"/>
      <c r="U90" s="53"/>
      <c r="V90" s="53"/>
      <c r="W90" s="53"/>
      <c r="X90" s="53"/>
      <c r="Y90" s="53"/>
      <c r="Z90" s="53"/>
    </row>
    <row r="91" spans="1:26" s="61" customFormat="1" ht="13.5" customHeight="1" x14ac:dyDescent="0.25">
      <c r="A91" s="53"/>
      <c r="B91" s="211"/>
      <c r="C91" s="191"/>
      <c r="D91" s="191"/>
      <c r="E91" s="191"/>
      <c r="F91" s="69" t="s">
        <v>73</v>
      </c>
      <c r="G91" s="70">
        <f t="shared" ref="G91" si="113">+E89*0.4</f>
        <v>0.11200000000000002</v>
      </c>
      <c r="H91" s="71"/>
      <c r="I91" s="72"/>
      <c r="J91" s="73">
        <v>5.3999999999999999E-2</v>
      </c>
      <c r="K91" s="191"/>
      <c r="L91" s="191"/>
      <c r="M91" s="191"/>
      <c r="N91" s="191"/>
      <c r="O91" s="191"/>
      <c r="P91" s="196"/>
      <c r="Q91" s="53"/>
      <c r="R91" s="53"/>
      <c r="S91" s="53"/>
      <c r="T91" s="53"/>
      <c r="U91" s="53"/>
      <c r="V91" s="53"/>
      <c r="W91" s="53"/>
      <c r="X91" s="53"/>
      <c r="Y91" s="53"/>
      <c r="Z91" s="53"/>
    </row>
    <row r="92" spans="1:26" s="61" customFormat="1" ht="13.5" customHeight="1" x14ac:dyDescent="0.25">
      <c r="A92" s="53"/>
      <c r="B92" s="211"/>
      <c r="C92" s="191"/>
      <c r="D92" s="191"/>
      <c r="E92" s="191"/>
      <c r="F92" s="69" t="s">
        <v>74</v>
      </c>
      <c r="G92" s="70">
        <f t="shared" ref="G92" si="114">IF(E89&lt;0.125,"NA",IF(0.125&lt;=E89,(0.8*E89)))</f>
        <v>0.22400000000000003</v>
      </c>
      <c r="H92" s="71"/>
      <c r="I92" s="72"/>
      <c r="J92" s="73">
        <v>4.7E-2</v>
      </c>
      <c r="K92" s="191"/>
      <c r="L92" s="191"/>
      <c r="M92" s="191"/>
      <c r="N92" s="191"/>
      <c r="O92" s="191"/>
      <c r="P92" s="196"/>
      <c r="Q92" s="53"/>
      <c r="R92" s="53"/>
      <c r="S92" s="53"/>
      <c r="T92" s="53"/>
      <c r="U92" s="53"/>
      <c r="V92" s="53"/>
      <c r="W92" s="53"/>
      <c r="X92" s="53"/>
      <c r="Y92" s="53"/>
      <c r="Z92" s="53"/>
    </row>
    <row r="93" spans="1:26" s="61" customFormat="1" ht="13.5" customHeight="1" thickBot="1" x14ac:dyDescent="0.3">
      <c r="A93" s="53"/>
      <c r="B93" s="212"/>
      <c r="C93" s="192"/>
      <c r="D93" s="192"/>
      <c r="E93" s="192"/>
      <c r="F93" s="74" t="s">
        <v>75</v>
      </c>
      <c r="G93" s="75">
        <f t="shared" ref="G93" si="115">+E89</f>
        <v>0.28000000000000003</v>
      </c>
      <c r="H93" s="76"/>
      <c r="I93" s="77"/>
      <c r="J93" s="78">
        <v>1.0999999999999999E-2</v>
      </c>
      <c r="K93" s="192"/>
      <c r="L93" s="192"/>
      <c r="M93" s="192"/>
      <c r="N93" s="192"/>
      <c r="O93" s="192"/>
      <c r="P93" s="197"/>
      <c r="Q93" s="53"/>
      <c r="R93" s="53"/>
      <c r="S93" s="53"/>
      <c r="T93" s="53"/>
      <c r="U93" s="53"/>
      <c r="V93" s="53"/>
      <c r="W93" s="53"/>
      <c r="X93" s="53"/>
      <c r="Y93" s="53"/>
      <c r="Z93" s="53"/>
    </row>
    <row r="94" spans="1:26" s="3" customFormat="1" ht="14.1" customHeight="1" x14ac:dyDescent="0.2">
      <c r="B94" s="198" t="s">
        <v>29</v>
      </c>
      <c r="C94" s="201"/>
      <c r="D94" s="202"/>
      <c r="E94" s="202"/>
      <c r="F94" s="202"/>
      <c r="G94" s="202"/>
      <c r="H94" s="202"/>
      <c r="I94" s="202"/>
      <c r="J94" s="202"/>
      <c r="K94" s="202"/>
      <c r="L94" s="202"/>
      <c r="M94" s="202"/>
      <c r="N94" s="202"/>
      <c r="O94" s="202"/>
      <c r="P94" s="203"/>
    </row>
    <row r="95" spans="1:26" s="3" customFormat="1" ht="14.1" customHeight="1" x14ac:dyDescent="0.2">
      <c r="B95" s="199"/>
      <c r="C95" s="204"/>
      <c r="D95" s="205"/>
      <c r="E95" s="205"/>
      <c r="F95" s="205"/>
      <c r="G95" s="205"/>
      <c r="H95" s="205"/>
      <c r="I95" s="205"/>
      <c r="J95" s="205"/>
      <c r="K95" s="205"/>
      <c r="L95" s="205"/>
      <c r="M95" s="205"/>
      <c r="N95" s="205"/>
      <c r="O95" s="205"/>
      <c r="P95" s="206"/>
    </row>
    <row r="96" spans="1:26" s="3" customFormat="1" ht="14.1" customHeight="1" x14ac:dyDescent="0.2">
      <c r="B96" s="199"/>
      <c r="C96" s="204"/>
      <c r="D96" s="205"/>
      <c r="E96" s="205"/>
      <c r="F96" s="205"/>
      <c r="G96" s="205"/>
      <c r="H96" s="205"/>
      <c r="I96" s="205"/>
      <c r="J96" s="205"/>
      <c r="K96" s="205"/>
      <c r="L96" s="205"/>
      <c r="M96" s="205"/>
      <c r="N96" s="205"/>
      <c r="O96" s="205"/>
      <c r="P96" s="206"/>
    </row>
    <row r="97" spans="1:26" s="3" customFormat="1" ht="14.1" customHeight="1" x14ac:dyDescent="0.2">
      <c r="B97" s="199"/>
      <c r="C97" s="204"/>
      <c r="D97" s="205"/>
      <c r="E97" s="205"/>
      <c r="F97" s="205"/>
      <c r="G97" s="205"/>
      <c r="H97" s="205"/>
      <c r="I97" s="205"/>
      <c r="J97" s="205"/>
      <c r="K97" s="205"/>
      <c r="L97" s="205"/>
      <c r="M97" s="205"/>
      <c r="N97" s="205"/>
      <c r="O97" s="205"/>
      <c r="P97" s="206"/>
    </row>
    <row r="98" spans="1:26" s="3" customFormat="1" ht="14.1" customHeight="1" x14ac:dyDescent="0.2">
      <c r="B98" s="199"/>
      <c r="C98" s="204"/>
      <c r="D98" s="205"/>
      <c r="E98" s="205"/>
      <c r="F98" s="205"/>
      <c r="G98" s="205"/>
      <c r="H98" s="205"/>
      <c r="I98" s="205"/>
      <c r="J98" s="205"/>
      <c r="K98" s="205"/>
      <c r="L98" s="205"/>
      <c r="M98" s="205"/>
      <c r="N98" s="205"/>
      <c r="O98" s="205"/>
      <c r="P98" s="206"/>
    </row>
    <row r="99" spans="1:26" s="3" customFormat="1" ht="14.1" customHeight="1" thickBot="1" x14ac:dyDescent="0.25">
      <c r="B99" s="200"/>
      <c r="C99" s="207"/>
      <c r="D99" s="208"/>
      <c r="E99" s="208"/>
      <c r="F99" s="208"/>
      <c r="G99" s="208"/>
      <c r="H99" s="208"/>
      <c r="I99" s="208"/>
      <c r="J99" s="208"/>
      <c r="K99" s="208"/>
      <c r="L99" s="208"/>
      <c r="M99" s="208"/>
      <c r="N99" s="208"/>
      <c r="O99" s="208"/>
      <c r="P99" s="209"/>
    </row>
    <row r="100" spans="1:26" s="3" customFormat="1" ht="28.5" customHeight="1" thickBot="1" x14ac:dyDescent="0.25">
      <c r="A100" s="79"/>
      <c r="B100" s="80" t="s">
        <v>76</v>
      </c>
      <c r="C100" s="177" t="s">
        <v>105</v>
      </c>
      <c r="D100" s="177"/>
      <c r="E100" s="177"/>
      <c r="F100" s="177"/>
      <c r="G100" s="177"/>
      <c r="H100" s="178"/>
      <c r="I100" s="179"/>
      <c r="J100" s="80"/>
      <c r="K100" s="177" t="s">
        <v>78</v>
      </c>
      <c r="L100" s="177"/>
      <c r="M100" s="177"/>
      <c r="N100" s="177"/>
      <c r="O100" s="177"/>
      <c r="P100" s="178"/>
    </row>
    <row r="101" spans="1:26" s="3" customFormat="1" ht="28.5" customHeight="1" thickBot="1" x14ac:dyDescent="0.25">
      <c r="B101" s="81" t="s">
        <v>79</v>
      </c>
      <c r="C101" s="181" t="s">
        <v>80</v>
      </c>
      <c r="D101" s="181"/>
      <c r="E101" s="181"/>
      <c r="F101" s="181"/>
      <c r="G101" s="181"/>
      <c r="H101" s="182"/>
      <c r="I101" s="180"/>
      <c r="J101" s="81" t="s">
        <v>81</v>
      </c>
      <c r="K101" s="181" t="s">
        <v>82</v>
      </c>
      <c r="L101" s="181"/>
      <c r="M101" s="181"/>
      <c r="N101" s="181"/>
      <c r="O101" s="181"/>
      <c r="P101" s="182"/>
    </row>
    <row r="102" spans="1:26" s="19" customFormat="1" ht="13.5" customHeight="1" x14ac:dyDescent="0.25">
      <c r="A102" s="82"/>
      <c r="B102" s="183">
        <f>+B64</f>
        <v>10</v>
      </c>
      <c r="C102" s="186">
        <f>+C59</f>
        <v>5.7000000000000011</v>
      </c>
      <c r="D102" s="188">
        <f>+D59</f>
        <v>0.58499999999999996</v>
      </c>
      <c r="E102" s="188">
        <f>+E64</f>
        <v>0.68500000000000005</v>
      </c>
      <c r="F102" s="83" t="s">
        <v>71</v>
      </c>
      <c r="G102" s="83">
        <v>0.01</v>
      </c>
      <c r="H102" s="84"/>
      <c r="I102" s="85"/>
      <c r="J102" s="86">
        <v>3.1E-2</v>
      </c>
      <c r="K102" s="189">
        <f>+AVERAGE(J102:J112)</f>
        <v>0.31536363636363635</v>
      </c>
      <c r="L102" s="168">
        <f>ROUND(+(D102+D107)/2*(C107-C102),3)</f>
        <v>0.22900000000000001</v>
      </c>
      <c r="M102" s="171">
        <f>ROUND(+K102*L102,4)</f>
        <v>7.22E-2</v>
      </c>
      <c r="N102" s="168">
        <f>ROUND(+M102/$M$113*100,2)</f>
        <v>26.06</v>
      </c>
      <c r="O102" s="168"/>
      <c r="P102" s="172"/>
      <c r="Q102" s="87"/>
      <c r="R102" s="87"/>
      <c r="S102" s="87"/>
      <c r="T102" s="87"/>
      <c r="U102" s="87"/>
      <c r="V102" s="87"/>
      <c r="W102" s="87"/>
      <c r="X102" s="87"/>
      <c r="Y102" s="87"/>
      <c r="Z102" s="87"/>
    </row>
    <row r="103" spans="1:26" s="19" customFormat="1" ht="13.5" customHeight="1" x14ac:dyDescent="0.25">
      <c r="A103" s="82"/>
      <c r="B103" s="184"/>
      <c r="C103" s="169"/>
      <c r="D103" s="169"/>
      <c r="E103" s="169"/>
      <c r="F103" s="88" t="s">
        <v>83</v>
      </c>
      <c r="G103" s="89">
        <f>+E102*0.1</f>
        <v>6.8500000000000005E-2</v>
      </c>
      <c r="H103" s="90"/>
      <c r="I103" s="91"/>
      <c r="J103" s="92">
        <v>0.13400000000000001</v>
      </c>
      <c r="K103" s="169"/>
      <c r="L103" s="169"/>
      <c r="M103" s="169"/>
      <c r="N103" s="169"/>
      <c r="O103" s="169"/>
      <c r="P103" s="173"/>
      <c r="Q103" s="87"/>
      <c r="R103" s="87"/>
      <c r="S103" s="87"/>
      <c r="T103" s="87"/>
      <c r="U103" s="87"/>
      <c r="V103" s="87"/>
      <c r="W103" s="87"/>
      <c r="X103" s="87"/>
      <c r="Y103" s="87"/>
      <c r="Z103" s="87"/>
    </row>
    <row r="104" spans="1:26" s="19" customFormat="1" ht="13.5" customHeight="1" x14ac:dyDescent="0.25">
      <c r="A104" s="82"/>
      <c r="B104" s="184"/>
      <c r="C104" s="169"/>
      <c r="D104" s="169"/>
      <c r="E104" s="169"/>
      <c r="F104" s="88" t="s">
        <v>84</v>
      </c>
      <c r="G104" s="89">
        <f>+E102*0.2</f>
        <v>0.13700000000000001</v>
      </c>
      <c r="H104" s="90"/>
      <c r="I104" s="91"/>
      <c r="J104" s="92">
        <v>0.23799999999999999</v>
      </c>
      <c r="K104" s="169"/>
      <c r="L104" s="169"/>
      <c r="M104" s="169"/>
      <c r="N104" s="169"/>
      <c r="O104" s="169"/>
      <c r="P104" s="173"/>
      <c r="Q104" s="87"/>
      <c r="R104" s="87"/>
      <c r="S104" s="87"/>
      <c r="T104" s="87"/>
      <c r="U104" s="87"/>
      <c r="V104" s="87"/>
      <c r="W104" s="87"/>
      <c r="X104" s="87"/>
      <c r="Y104" s="87"/>
      <c r="Z104" s="87"/>
    </row>
    <row r="105" spans="1:26" s="19" customFormat="1" ht="13.5" customHeight="1" x14ac:dyDescent="0.25">
      <c r="A105" s="82"/>
      <c r="B105" s="184"/>
      <c r="C105" s="169"/>
      <c r="D105" s="169"/>
      <c r="E105" s="169"/>
      <c r="F105" s="88" t="s">
        <v>85</v>
      </c>
      <c r="G105" s="89">
        <f>+E102*0.3</f>
        <v>0.20550000000000002</v>
      </c>
      <c r="H105" s="90"/>
      <c r="I105" s="91"/>
      <c r="J105" s="92">
        <v>0.248</v>
      </c>
      <c r="K105" s="169"/>
      <c r="L105" s="169"/>
      <c r="M105" s="169"/>
      <c r="N105" s="169"/>
      <c r="O105" s="169"/>
      <c r="P105" s="173"/>
      <c r="Q105" s="87"/>
      <c r="R105" s="87"/>
      <c r="S105" s="87"/>
      <c r="T105" s="87"/>
      <c r="U105" s="87"/>
      <c r="V105" s="87"/>
      <c r="W105" s="87"/>
      <c r="X105" s="87"/>
      <c r="Y105" s="87"/>
      <c r="Z105" s="87"/>
    </row>
    <row r="106" spans="1:26" s="19" customFormat="1" ht="13.5" customHeight="1" x14ac:dyDescent="0.25">
      <c r="A106" s="82"/>
      <c r="B106" s="184"/>
      <c r="C106" s="187"/>
      <c r="D106" s="187"/>
      <c r="E106" s="169"/>
      <c r="F106" s="88" t="s">
        <v>86</v>
      </c>
      <c r="G106" s="89">
        <f>+E102*0.4</f>
        <v>0.27400000000000002</v>
      </c>
      <c r="H106" s="90"/>
      <c r="I106" s="91"/>
      <c r="J106" s="92">
        <v>0.34799999999999998</v>
      </c>
      <c r="K106" s="169"/>
      <c r="L106" s="169"/>
      <c r="M106" s="169"/>
      <c r="N106" s="169"/>
      <c r="O106" s="169"/>
      <c r="P106" s="173"/>
      <c r="Q106" s="87"/>
      <c r="R106" s="87"/>
      <c r="S106" s="87"/>
      <c r="T106" s="87"/>
      <c r="U106" s="87"/>
      <c r="V106" s="87"/>
      <c r="W106" s="87"/>
      <c r="X106" s="87"/>
      <c r="Y106" s="87"/>
      <c r="Z106" s="87"/>
    </row>
    <row r="107" spans="1:26" s="19" customFormat="1" ht="13.5" customHeight="1" x14ac:dyDescent="0.25">
      <c r="A107" s="82"/>
      <c r="B107" s="184"/>
      <c r="C107" s="175">
        <f>+C64</f>
        <v>6.1000000000000014</v>
      </c>
      <c r="D107" s="176">
        <f>+D64</f>
        <v>0.56000000000000005</v>
      </c>
      <c r="E107" s="169"/>
      <c r="F107" s="88" t="s">
        <v>30</v>
      </c>
      <c r="G107" s="89">
        <f>+E102*0.5</f>
        <v>0.34250000000000003</v>
      </c>
      <c r="H107" s="90"/>
      <c r="I107" s="91"/>
      <c r="J107" s="92">
        <v>0.41</v>
      </c>
      <c r="K107" s="169"/>
      <c r="L107" s="169"/>
      <c r="M107" s="169"/>
      <c r="N107" s="169"/>
      <c r="O107" s="169"/>
      <c r="P107" s="173"/>
      <c r="Q107" s="87"/>
      <c r="R107" s="87"/>
      <c r="S107" s="87"/>
      <c r="T107" s="87"/>
      <c r="U107" s="87"/>
      <c r="V107" s="87"/>
      <c r="W107" s="87"/>
      <c r="X107" s="87"/>
      <c r="Y107" s="87"/>
      <c r="Z107" s="87"/>
    </row>
    <row r="108" spans="1:26" s="19" customFormat="1" ht="13.5" customHeight="1" x14ac:dyDescent="0.25">
      <c r="A108" s="82"/>
      <c r="B108" s="184"/>
      <c r="C108" s="169"/>
      <c r="D108" s="169"/>
      <c r="E108" s="169"/>
      <c r="F108" s="88" t="s">
        <v>87</v>
      </c>
      <c r="G108" s="89">
        <f>+E102*0.6</f>
        <v>0.41100000000000003</v>
      </c>
      <c r="H108" s="90"/>
      <c r="I108" s="91"/>
      <c r="J108" s="92">
        <v>0.40600000000000003</v>
      </c>
      <c r="K108" s="169"/>
      <c r="L108" s="169"/>
      <c r="M108" s="169"/>
      <c r="N108" s="169"/>
      <c r="O108" s="169"/>
      <c r="P108" s="173"/>
      <c r="Q108" s="87"/>
      <c r="R108" s="87"/>
      <c r="S108" s="87"/>
      <c r="T108" s="87"/>
      <c r="U108" s="87"/>
      <c r="V108" s="87"/>
      <c r="W108" s="87"/>
      <c r="X108" s="87"/>
      <c r="Y108" s="87"/>
      <c r="Z108" s="87"/>
    </row>
    <row r="109" spans="1:26" s="19" customFormat="1" ht="13.5" customHeight="1" x14ac:dyDescent="0.25">
      <c r="A109" s="82"/>
      <c r="B109" s="184"/>
      <c r="C109" s="169"/>
      <c r="D109" s="169"/>
      <c r="E109" s="169"/>
      <c r="F109" s="88" t="s">
        <v>88</v>
      </c>
      <c r="G109" s="89">
        <f>+E102*0.7</f>
        <v>0.47949999999999998</v>
      </c>
      <c r="H109" s="90"/>
      <c r="I109" s="91"/>
      <c r="J109" s="92">
        <v>0.41199999999999998</v>
      </c>
      <c r="K109" s="169"/>
      <c r="L109" s="169"/>
      <c r="M109" s="169"/>
      <c r="N109" s="169"/>
      <c r="O109" s="169"/>
      <c r="P109" s="173"/>
      <c r="Q109" s="87"/>
      <c r="R109" s="87"/>
      <c r="S109" s="87"/>
      <c r="T109" s="87"/>
      <c r="U109" s="87"/>
      <c r="V109" s="87"/>
      <c r="W109" s="87"/>
      <c r="X109" s="87"/>
      <c r="Y109" s="87"/>
      <c r="Z109" s="87"/>
    </row>
    <row r="110" spans="1:26" s="19" customFormat="1" ht="13.5" customHeight="1" x14ac:dyDescent="0.25">
      <c r="A110" s="82"/>
      <c r="B110" s="184"/>
      <c r="C110" s="169"/>
      <c r="D110" s="169"/>
      <c r="E110" s="169"/>
      <c r="F110" s="88" t="s">
        <v>89</v>
      </c>
      <c r="G110" s="89">
        <f>+E102*0.8</f>
        <v>0.54800000000000004</v>
      </c>
      <c r="H110" s="90"/>
      <c r="I110" s="91"/>
      <c r="J110" s="92">
        <v>0.45500000000000002</v>
      </c>
      <c r="K110" s="169"/>
      <c r="L110" s="169"/>
      <c r="M110" s="169"/>
      <c r="N110" s="169"/>
      <c r="O110" s="169"/>
      <c r="P110" s="173"/>
      <c r="Q110" s="87"/>
      <c r="R110" s="87"/>
      <c r="S110" s="87"/>
      <c r="T110" s="87"/>
      <c r="U110" s="87"/>
      <c r="V110" s="87"/>
      <c r="W110" s="87"/>
      <c r="X110" s="87"/>
      <c r="Y110" s="87"/>
      <c r="Z110" s="87"/>
    </row>
    <row r="111" spans="1:26" s="19" customFormat="1" ht="13.5" customHeight="1" x14ac:dyDescent="0.25">
      <c r="A111" s="82"/>
      <c r="B111" s="184"/>
      <c r="C111" s="169"/>
      <c r="D111" s="169"/>
      <c r="E111" s="169"/>
      <c r="F111" s="88" t="s">
        <v>90</v>
      </c>
      <c r="G111" s="89">
        <f>+E102*0.9</f>
        <v>0.61650000000000005</v>
      </c>
      <c r="H111" s="90"/>
      <c r="I111" s="91"/>
      <c r="J111" s="92">
        <v>0.42299999999999999</v>
      </c>
      <c r="K111" s="169"/>
      <c r="L111" s="169"/>
      <c r="M111" s="169"/>
      <c r="N111" s="169"/>
      <c r="O111" s="169"/>
      <c r="P111" s="173"/>
      <c r="Q111" s="87"/>
      <c r="R111" s="87"/>
      <c r="S111" s="87"/>
      <c r="T111" s="87"/>
      <c r="U111" s="87"/>
      <c r="V111" s="87"/>
      <c r="W111" s="87"/>
      <c r="X111" s="87"/>
      <c r="Y111" s="87"/>
      <c r="Z111" s="87"/>
    </row>
    <row r="112" spans="1:26" s="19" customFormat="1" ht="15.75" thickBot="1" x14ac:dyDescent="0.3">
      <c r="A112" s="82"/>
      <c r="B112" s="185"/>
      <c r="C112" s="170"/>
      <c r="D112" s="170"/>
      <c r="E112" s="170"/>
      <c r="F112" s="93" t="s">
        <v>31</v>
      </c>
      <c r="G112" s="93">
        <f>+E102</f>
        <v>0.68500000000000005</v>
      </c>
      <c r="H112" s="94"/>
      <c r="I112" s="95"/>
      <c r="J112" s="96">
        <v>0.36399999999999999</v>
      </c>
      <c r="K112" s="170"/>
      <c r="L112" s="170"/>
      <c r="M112" s="170"/>
      <c r="N112" s="170"/>
      <c r="O112" s="170"/>
      <c r="P112" s="174"/>
      <c r="Q112" s="87"/>
      <c r="R112" s="87"/>
      <c r="S112" s="87"/>
      <c r="T112" s="87"/>
      <c r="U112" s="87"/>
      <c r="V112" s="87"/>
      <c r="W112" s="87"/>
      <c r="X112" s="87"/>
      <c r="Y112" s="87"/>
      <c r="Z112" s="87"/>
    </row>
    <row r="113" spans="1:16" s="3" customFormat="1" ht="12.75" x14ac:dyDescent="0.2">
      <c r="A113" s="11"/>
      <c r="B113" s="156" t="s">
        <v>32</v>
      </c>
      <c r="C113" s="156"/>
      <c r="D113" s="156"/>
      <c r="E113" s="156"/>
      <c r="F113" s="156"/>
      <c r="G113" s="156"/>
      <c r="H113" s="156"/>
      <c r="I113" s="156"/>
      <c r="J113" s="156"/>
      <c r="K113" s="12">
        <f>ROUND(+M113/L113,3)</f>
        <v>0.115</v>
      </c>
      <c r="L113" s="16">
        <f>SUM(L19:L112)</f>
        <v>2.4</v>
      </c>
      <c r="M113" s="15">
        <f>SUM(M19:M112)</f>
        <v>0.27700000000000002</v>
      </c>
      <c r="N113" s="13">
        <f>ROUND(SUM(N19:N112),0)</f>
        <v>100</v>
      </c>
      <c r="O113" s="158" t="s">
        <v>33</v>
      </c>
      <c r="P113" s="160"/>
    </row>
    <row r="114" spans="1:16" s="3" customFormat="1" ht="15" customHeight="1" thickBot="1" x14ac:dyDescent="0.25">
      <c r="A114" s="11"/>
      <c r="B114" s="157"/>
      <c r="C114" s="157"/>
      <c r="D114" s="157"/>
      <c r="E114" s="157"/>
      <c r="F114" s="157"/>
      <c r="G114" s="157"/>
      <c r="H114" s="157"/>
      <c r="I114" s="157"/>
      <c r="J114" s="157"/>
      <c r="K114" s="14" t="s">
        <v>34</v>
      </c>
      <c r="L114" s="14" t="s">
        <v>50</v>
      </c>
      <c r="M114" s="14" t="s">
        <v>51</v>
      </c>
      <c r="N114" s="14" t="s">
        <v>35</v>
      </c>
      <c r="O114" s="159"/>
      <c r="P114" s="161"/>
    </row>
    <row r="115" spans="1:16" ht="15" customHeight="1" thickBot="1" x14ac:dyDescent="0.3">
      <c r="A115" s="5"/>
      <c r="B115" s="162" t="s">
        <v>91</v>
      </c>
      <c r="C115" s="163"/>
      <c r="D115" s="163"/>
      <c r="E115" s="163"/>
      <c r="F115" s="164"/>
      <c r="G115" s="162" t="s">
        <v>92</v>
      </c>
      <c r="H115" s="163"/>
      <c r="I115" s="163"/>
      <c r="J115" s="163"/>
      <c r="K115" s="164"/>
      <c r="L115" s="165" t="s">
        <v>53</v>
      </c>
      <c r="M115" s="166"/>
      <c r="N115" s="166"/>
      <c r="O115" s="166"/>
      <c r="P115" s="167"/>
    </row>
    <row r="116" spans="1:16" ht="15" customHeight="1" x14ac:dyDescent="0.25">
      <c r="A116" s="5"/>
      <c r="B116" s="126"/>
      <c r="C116" s="127"/>
      <c r="D116" s="127"/>
      <c r="E116" s="127"/>
      <c r="F116" s="128"/>
      <c r="G116" s="126"/>
      <c r="H116" s="127"/>
      <c r="I116" s="127"/>
      <c r="J116" s="127"/>
      <c r="K116" s="128"/>
      <c r="L116" s="135" t="s">
        <v>93</v>
      </c>
      <c r="M116" s="136"/>
      <c r="N116" s="136"/>
      <c r="O116" s="137">
        <f>+AVERAGE(E18:E93)</f>
        <v>0.41739999999999999</v>
      </c>
      <c r="P116" s="138"/>
    </row>
    <row r="117" spans="1:16" ht="15" customHeight="1" thickBot="1" x14ac:dyDescent="0.3">
      <c r="A117" s="5"/>
      <c r="B117" s="129"/>
      <c r="C117" s="130"/>
      <c r="D117" s="130"/>
      <c r="E117" s="130"/>
      <c r="F117" s="131"/>
      <c r="G117" s="129"/>
      <c r="H117" s="130"/>
      <c r="I117" s="130"/>
      <c r="J117" s="130"/>
      <c r="K117" s="131"/>
      <c r="L117" s="139" t="s">
        <v>94</v>
      </c>
      <c r="M117" s="140"/>
      <c r="N117" s="140"/>
      <c r="O117" s="141">
        <f>+MAX(E18:E93)</f>
        <v>0.68500000000000005</v>
      </c>
      <c r="P117" s="142"/>
    </row>
    <row r="118" spans="1:16" ht="18.600000000000001" customHeight="1" x14ac:dyDescent="0.25">
      <c r="A118" s="6"/>
      <c r="B118" s="129"/>
      <c r="C118" s="130"/>
      <c r="D118" s="130"/>
      <c r="E118" s="130"/>
      <c r="F118" s="131"/>
      <c r="G118" s="129"/>
      <c r="H118" s="130"/>
      <c r="I118" s="130"/>
      <c r="J118" s="130"/>
      <c r="K118" s="131"/>
      <c r="L118" s="143"/>
      <c r="M118" s="144"/>
      <c r="N118" s="144"/>
      <c r="O118" s="144"/>
      <c r="P118" s="145"/>
    </row>
    <row r="119" spans="1:16" ht="61.5" customHeight="1" x14ac:dyDescent="0.25">
      <c r="A119" s="10"/>
      <c r="B119" s="129"/>
      <c r="C119" s="130"/>
      <c r="D119" s="130"/>
      <c r="E119" s="130"/>
      <c r="F119" s="131"/>
      <c r="G119" s="129"/>
      <c r="H119" s="130"/>
      <c r="I119" s="130"/>
      <c r="J119" s="130"/>
      <c r="K119" s="131"/>
      <c r="L119" s="146"/>
      <c r="M119" s="147"/>
      <c r="N119" s="147"/>
      <c r="O119" s="147"/>
      <c r="P119" s="148"/>
    </row>
    <row r="120" spans="1:16" ht="15" customHeight="1" thickBot="1" x14ac:dyDescent="0.3">
      <c r="A120" s="5"/>
      <c r="B120" s="129"/>
      <c r="C120" s="130"/>
      <c r="D120" s="130"/>
      <c r="E120" s="130"/>
      <c r="F120" s="131"/>
      <c r="G120" s="129"/>
      <c r="H120" s="130"/>
      <c r="I120" s="130"/>
      <c r="J120" s="130"/>
      <c r="K120" s="131"/>
      <c r="L120" s="149"/>
      <c r="M120" s="150"/>
      <c r="N120" s="150"/>
      <c r="O120" s="150"/>
      <c r="P120" s="151"/>
    </row>
    <row r="121" spans="1:16" ht="22.5" customHeight="1" thickBot="1" x14ac:dyDescent="0.3">
      <c r="A121" s="5"/>
      <c r="B121" s="129"/>
      <c r="C121" s="130"/>
      <c r="D121" s="130"/>
      <c r="E121" s="130"/>
      <c r="F121" s="131"/>
      <c r="G121" s="129"/>
      <c r="H121" s="130"/>
      <c r="I121" s="130"/>
      <c r="J121" s="130"/>
      <c r="K121" s="131"/>
      <c r="L121" s="152" t="s">
        <v>36</v>
      </c>
      <c r="M121" s="153"/>
      <c r="N121" s="153"/>
      <c r="O121" s="153"/>
      <c r="P121" s="97">
        <v>5.49</v>
      </c>
    </row>
    <row r="122" spans="1:16" ht="32.25" customHeight="1" thickBot="1" x14ac:dyDescent="0.3">
      <c r="A122" s="5"/>
      <c r="B122" s="132"/>
      <c r="C122" s="133"/>
      <c r="D122" s="133"/>
      <c r="E122" s="133"/>
      <c r="F122" s="134"/>
      <c r="G122" s="132"/>
      <c r="H122" s="133"/>
      <c r="I122" s="133"/>
      <c r="J122" s="133"/>
      <c r="K122" s="134"/>
      <c r="L122" s="154" t="s">
        <v>52</v>
      </c>
      <c r="M122" s="155"/>
      <c r="N122" s="155"/>
      <c r="O122" s="155"/>
      <c r="P122" s="97">
        <v>0.46410000000000001</v>
      </c>
    </row>
    <row r="123" spans="1:16" ht="23.45" customHeight="1" thickBot="1" x14ac:dyDescent="0.3">
      <c r="A123" s="7"/>
      <c r="B123" s="115"/>
      <c r="C123" s="115"/>
      <c r="D123" s="115"/>
      <c r="E123" s="115"/>
      <c r="F123" s="115"/>
      <c r="G123" s="115"/>
      <c r="H123" s="115"/>
      <c r="I123" s="115"/>
      <c r="J123" s="115"/>
      <c r="K123" s="115"/>
      <c r="L123" s="115"/>
      <c r="M123" s="115"/>
      <c r="N123" s="115"/>
      <c r="O123" s="115"/>
      <c r="P123" s="115"/>
    </row>
    <row r="124" spans="1:16" ht="15.75" thickBot="1" x14ac:dyDescent="0.3">
      <c r="A124" s="116" t="s">
        <v>37</v>
      </c>
      <c r="B124" s="117"/>
      <c r="C124" s="117"/>
      <c r="D124" s="117"/>
      <c r="E124" s="117"/>
      <c r="F124" s="117"/>
      <c r="G124" s="117"/>
      <c r="H124" s="117"/>
      <c r="I124" s="117"/>
      <c r="J124" s="117"/>
      <c r="K124" s="117"/>
      <c r="L124" s="117"/>
      <c r="M124" s="117"/>
      <c r="N124" s="117"/>
      <c r="O124" s="117"/>
      <c r="P124" s="118"/>
    </row>
    <row r="125" spans="1:16" ht="159" customHeight="1" thickBot="1" x14ac:dyDescent="0.3">
      <c r="A125" s="4"/>
      <c r="B125" s="305"/>
      <c r="C125" s="306"/>
      <c r="D125" s="306"/>
      <c r="E125" s="306"/>
      <c r="F125" s="307"/>
      <c r="G125" s="309"/>
      <c r="H125" s="310"/>
      <c r="I125" s="310"/>
      <c r="J125" s="310"/>
      <c r="K125" s="310"/>
      <c r="L125" s="310"/>
      <c r="M125" s="310"/>
      <c r="N125" s="310"/>
      <c r="O125" s="310"/>
      <c r="P125" s="311"/>
    </row>
    <row r="126" spans="1:16" ht="21.75" customHeight="1" thickBot="1" x14ac:dyDescent="0.3">
      <c r="A126" s="4"/>
      <c r="B126" s="122" t="s">
        <v>107</v>
      </c>
      <c r="C126" s="123"/>
      <c r="D126" s="123"/>
      <c r="E126" s="123"/>
      <c r="F126" s="124"/>
      <c r="G126" s="312" t="s">
        <v>108</v>
      </c>
      <c r="H126" s="313"/>
      <c r="I126" s="313"/>
      <c r="J126" s="313"/>
      <c r="K126" s="313"/>
      <c r="L126" s="313"/>
      <c r="M126" s="313"/>
      <c r="N126" s="313"/>
      <c r="O126" s="313"/>
      <c r="P126" s="314"/>
    </row>
    <row r="127" spans="1:16" s="9" customFormat="1" ht="16.899999999999999" customHeight="1" thickBot="1" x14ac:dyDescent="0.3">
      <c r="A127" s="8"/>
      <c r="B127" s="110"/>
      <c r="C127" s="110"/>
      <c r="D127" s="110"/>
      <c r="E127" s="110"/>
      <c r="F127" s="110"/>
      <c r="G127" s="110"/>
      <c r="H127" s="110"/>
      <c r="I127" s="110"/>
      <c r="J127" s="110"/>
      <c r="K127" s="110"/>
      <c r="L127" s="110"/>
      <c r="M127" s="110"/>
      <c r="N127" s="110"/>
      <c r="O127" s="110"/>
      <c r="P127" s="111"/>
    </row>
    <row r="128" spans="1:16" s="3" customFormat="1" ht="15.75" customHeight="1" thickBot="1" x14ac:dyDescent="0.25">
      <c r="A128" s="112" t="s">
        <v>38</v>
      </c>
      <c r="B128" s="113"/>
      <c r="C128" s="113"/>
      <c r="D128" s="113"/>
      <c r="E128" s="113"/>
      <c r="F128" s="113"/>
      <c r="G128" s="113"/>
      <c r="H128" s="113"/>
      <c r="I128" s="113"/>
      <c r="J128" s="113" t="s">
        <v>39</v>
      </c>
      <c r="K128" s="113"/>
      <c r="L128" s="113"/>
      <c r="M128" s="113"/>
      <c r="N128" s="113"/>
      <c r="O128" s="113"/>
      <c r="P128" s="114"/>
    </row>
  </sheetData>
  <mergeCells count="253">
    <mergeCell ref="B4:P4"/>
    <mergeCell ref="C5:D5"/>
    <mergeCell ref="H5:P5"/>
    <mergeCell ref="B2:D3"/>
    <mergeCell ref="E2:N3"/>
    <mergeCell ref="O2:P3"/>
    <mergeCell ref="B6:C6"/>
    <mergeCell ref="D6:I6"/>
    <mergeCell ref="K6:L6"/>
    <mergeCell ref="M6:N6"/>
    <mergeCell ref="B7:B8"/>
    <mergeCell ref="C7:D7"/>
    <mergeCell ref="F7:I7"/>
    <mergeCell ref="J7:M7"/>
    <mergeCell ref="N7:O7"/>
    <mergeCell ref="C8:D8"/>
    <mergeCell ref="F8:I8"/>
    <mergeCell ref="J8:M8"/>
    <mergeCell ref="N8:O8"/>
    <mergeCell ref="B9:B12"/>
    <mergeCell ref="C9:C10"/>
    <mergeCell ref="D9:E9"/>
    <mergeCell ref="G9:G10"/>
    <mergeCell ref="H9:I9"/>
    <mergeCell ref="K9:K10"/>
    <mergeCell ref="L9:P10"/>
    <mergeCell ref="O11:P11"/>
    <mergeCell ref="C12:D12"/>
    <mergeCell ref="F12:G12"/>
    <mergeCell ref="I12:J12"/>
    <mergeCell ref="L12:M12"/>
    <mergeCell ref="O12:P12"/>
    <mergeCell ref="D10:E10"/>
    <mergeCell ref="H10:I10"/>
    <mergeCell ref="C11:D11"/>
    <mergeCell ref="F11:G11"/>
    <mergeCell ref="I11:J11"/>
    <mergeCell ref="L11:M11"/>
    <mergeCell ref="F15:I15"/>
    <mergeCell ref="J15:M15"/>
    <mergeCell ref="N15:P15"/>
    <mergeCell ref="B16:B17"/>
    <mergeCell ref="C16:C17"/>
    <mergeCell ref="D16:D17"/>
    <mergeCell ref="E16:E17"/>
    <mergeCell ref="F16:G17"/>
    <mergeCell ref="H16:H17"/>
    <mergeCell ref="I16:I17"/>
    <mergeCell ref="B13:B15"/>
    <mergeCell ref="C13:E13"/>
    <mergeCell ref="F13:I13"/>
    <mergeCell ref="J13:M13"/>
    <mergeCell ref="N13:P13"/>
    <mergeCell ref="C14:E14"/>
    <mergeCell ref="F14:I14"/>
    <mergeCell ref="J14:M14"/>
    <mergeCell ref="N14:P14"/>
    <mergeCell ref="C15:E15"/>
    <mergeCell ref="M19:M23"/>
    <mergeCell ref="N19:N23"/>
    <mergeCell ref="O19:O23"/>
    <mergeCell ref="P19:P23"/>
    <mergeCell ref="B24:B28"/>
    <mergeCell ref="C24:C28"/>
    <mergeCell ref="D24:D28"/>
    <mergeCell ref="E24:E28"/>
    <mergeCell ref="K24:K28"/>
    <mergeCell ref="L24:L28"/>
    <mergeCell ref="B19:B23"/>
    <mergeCell ref="C19:C23"/>
    <mergeCell ref="D19:D23"/>
    <mergeCell ref="E19:E23"/>
    <mergeCell ref="K19:K23"/>
    <mergeCell ref="L19:L23"/>
    <mergeCell ref="M24:M28"/>
    <mergeCell ref="N24:N28"/>
    <mergeCell ref="O24:O28"/>
    <mergeCell ref="P24:P28"/>
    <mergeCell ref="B29:B33"/>
    <mergeCell ref="C29:C33"/>
    <mergeCell ref="D29:D33"/>
    <mergeCell ref="E29:E33"/>
    <mergeCell ref="K29:K33"/>
    <mergeCell ref="L29:L33"/>
    <mergeCell ref="M29:M33"/>
    <mergeCell ref="N29:N33"/>
    <mergeCell ref="O29:O33"/>
    <mergeCell ref="P29:P33"/>
    <mergeCell ref="B34:B38"/>
    <mergeCell ref="C34:C38"/>
    <mergeCell ref="D34:D38"/>
    <mergeCell ref="E34:E38"/>
    <mergeCell ref="K34:K38"/>
    <mergeCell ref="L34:L38"/>
    <mergeCell ref="M34:M38"/>
    <mergeCell ref="N34:N38"/>
    <mergeCell ref="O34:O38"/>
    <mergeCell ref="P34:P38"/>
    <mergeCell ref="B39:B43"/>
    <mergeCell ref="C39:C43"/>
    <mergeCell ref="D39:D43"/>
    <mergeCell ref="E39:E43"/>
    <mergeCell ref="K39:K43"/>
    <mergeCell ref="L39:L43"/>
    <mergeCell ref="M39:M43"/>
    <mergeCell ref="N39:N43"/>
    <mergeCell ref="O39:O43"/>
    <mergeCell ref="P39:P43"/>
    <mergeCell ref="B44:B48"/>
    <mergeCell ref="C44:C48"/>
    <mergeCell ref="D44:D48"/>
    <mergeCell ref="E44:E48"/>
    <mergeCell ref="K44:K48"/>
    <mergeCell ref="L44:L48"/>
    <mergeCell ref="M44:M48"/>
    <mergeCell ref="N44:N48"/>
    <mergeCell ref="O44:O48"/>
    <mergeCell ref="P44:P48"/>
    <mergeCell ref="B49:B53"/>
    <mergeCell ref="C49:C53"/>
    <mergeCell ref="D49:D53"/>
    <mergeCell ref="E49:E53"/>
    <mergeCell ref="K49:K53"/>
    <mergeCell ref="L49:L53"/>
    <mergeCell ref="M49:M53"/>
    <mergeCell ref="N49:N53"/>
    <mergeCell ref="O49:O53"/>
    <mergeCell ref="P49:P53"/>
    <mergeCell ref="B54:B58"/>
    <mergeCell ref="C54:C58"/>
    <mergeCell ref="D54:D58"/>
    <mergeCell ref="E54:E58"/>
    <mergeCell ref="K54:K58"/>
    <mergeCell ref="L54:L58"/>
    <mergeCell ref="M54:M58"/>
    <mergeCell ref="N54:N58"/>
    <mergeCell ref="O54:O58"/>
    <mergeCell ref="P54:P58"/>
    <mergeCell ref="B59:B63"/>
    <mergeCell ref="C59:C63"/>
    <mergeCell ref="D59:D63"/>
    <mergeCell ref="E59:E63"/>
    <mergeCell ref="K59:K63"/>
    <mergeCell ref="L59:L63"/>
    <mergeCell ref="M59:M63"/>
    <mergeCell ref="N59:N63"/>
    <mergeCell ref="O59:O63"/>
    <mergeCell ref="P59:P63"/>
    <mergeCell ref="B64:B68"/>
    <mergeCell ref="C64:C68"/>
    <mergeCell ref="D64:D68"/>
    <mergeCell ref="E64:E68"/>
    <mergeCell ref="K64:K68"/>
    <mergeCell ref="L64:L68"/>
    <mergeCell ref="M64:M68"/>
    <mergeCell ref="N64:N68"/>
    <mergeCell ref="O64:O68"/>
    <mergeCell ref="P64:P68"/>
    <mergeCell ref="B69:B73"/>
    <mergeCell ref="C69:C73"/>
    <mergeCell ref="D69:D73"/>
    <mergeCell ref="E69:E73"/>
    <mergeCell ref="K69:K73"/>
    <mergeCell ref="L69:L73"/>
    <mergeCell ref="M69:M73"/>
    <mergeCell ref="N69:N73"/>
    <mergeCell ref="O69:O73"/>
    <mergeCell ref="P69:P73"/>
    <mergeCell ref="B74:B78"/>
    <mergeCell ref="C74:C78"/>
    <mergeCell ref="D74:D78"/>
    <mergeCell ref="E74:E78"/>
    <mergeCell ref="K74:K78"/>
    <mergeCell ref="L74:L78"/>
    <mergeCell ref="M74:M78"/>
    <mergeCell ref="N74:N78"/>
    <mergeCell ref="O74:O78"/>
    <mergeCell ref="P74:P78"/>
    <mergeCell ref="B79:B83"/>
    <mergeCell ref="C79:C83"/>
    <mergeCell ref="D79:D83"/>
    <mergeCell ref="E79:E83"/>
    <mergeCell ref="K79:K83"/>
    <mergeCell ref="L79:L83"/>
    <mergeCell ref="M79:M83"/>
    <mergeCell ref="N79:N83"/>
    <mergeCell ref="O79:O83"/>
    <mergeCell ref="P79:P83"/>
    <mergeCell ref="B84:B88"/>
    <mergeCell ref="C84:C88"/>
    <mergeCell ref="D84:D88"/>
    <mergeCell ref="E84:E88"/>
    <mergeCell ref="K84:K88"/>
    <mergeCell ref="L84:L88"/>
    <mergeCell ref="M89:M93"/>
    <mergeCell ref="N89:N93"/>
    <mergeCell ref="O89:O93"/>
    <mergeCell ref="P89:P93"/>
    <mergeCell ref="B94:B99"/>
    <mergeCell ref="C94:P99"/>
    <mergeCell ref="M84:M88"/>
    <mergeCell ref="N84:N88"/>
    <mergeCell ref="O84:O88"/>
    <mergeCell ref="P84:P88"/>
    <mergeCell ref="B89:B93"/>
    <mergeCell ref="C89:C93"/>
    <mergeCell ref="D89:D93"/>
    <mergeCell ref="E89:E93"/>
    <mergeCell ref="K89:K93"/>
    <mergeCell ref="L89:L93"/>
    <mergeCell ref="C100:H100"/>
    <mergeCell ref="I100:I101"/>
    <mergeCell ref="K100:P100"/>
    <mergeCell ref="C101:H101"/>
    <mergeCell ref="K101:P101"/>
    <mergeCell ref="B102:B112"/>
    <mergeCell ref="C102:C106"/>
    <mergeCell ref="D102:D106"/>
    <mergeCell ref="E102:E112"/>
    <mergeCell ref="K102:K112"/>
    <mergeCell ref="B113:J114"/>
    <mergeCell ref="O113:O114"/>
    <mergeCell ref="P113:P114"/>
    <mergeCell ref="B115:F115"/>
    <mergeCell ref="G115:K115"/>
    <mergeCell ref="L115:P115"/>
    <mergeCell ref="L102:L112"/>
    <mergeCell ref="M102:M112"/>
    <mergeCell ref="N102:N112"/>
    <mergeCell ref="O102:O112"/>
    <mergeCell ref="P102:P112"/>
    <mergeCell ref="C107:C112"/>
    <mergeCell ref="D107:D112"/>
    <mergeCell ref="B116:F122"/>
    <mergeCell ref="G116:K122"/>
    <mergeCell ref="L116:N116"/>
    <mergeCell ref="O116:P116"/>
    <mergeCell ref="L117:N117"/>
    <mergeCell ref="O117:P117"/>
    <mergeCell ref="L118:P120"/>
    <mergeCell ref="L121:O121"/>
    <mergeCell ref="L122:O122"/>
    <mergeCell ref="B127:P127"/>
    <mergeCell ref="A128:C128"/>
    <mergeCell ref="D128:I128"/>
    <mergeCell ref="J128:K128"/>
    <mergeCell ref="L128:P128"/>
    <mergeCell ref="B123:P123"/>
    <mergeCell ref="A124:P124"/>
    <mergeCell ref="B125:F125"/>
    <mergeCell ref="G125:P125"/>
    <mergeCell ref="B126:F126"/>
    <mergeCell ref="G126:P126"/>
  </mergeCells>
  <printOptions horizontalCentered="1"/>
  <pageMargins left="0.35433070866141736" right="0.23622047244094491" top="0.74803149606299213" bottom="0.74803149606299213" header="0.19685039370078741" footer="0.31496062992125984"/>
  <pageSetup scale="63" fitToHeight="0" orientation="portrait" r:id="rId1"/>
  <headerFooter>
    <oddHeader>&amp;C&amp;"-,Negrita Cursiva"&amp;12Protocolo integrado de aforo en ríos de montaña Universidad Nacional de Colombia-Sede Manizales</oddHeader>
  </headerFooter>
  <drawing r:id="rId2"/>
  <picture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8</vt:i4>
      </vt:variant>
    </vt:vector>
  </HeadingPairs>
  <TitlesOfParts>
    <vt:vector size="13" baseType="lpstr">
      <vt:lpstr>Planta y sección típica</vt:lpstr>
      <vt:lpstr>Aforo 1</vt:lpstr>
      <vt:lpstr>Aforo 2</vt:lpstr>
      <vt:lpstr>Aforo 3</vt:lpstr>
      <vt:lpstr>Aforo 4</vt:lpstr>
      <vt:lpstr>'Aforo 1'!Área_de_impresión</vt:lpstr>
      <vt:lpstr>'Aforo 2'!Área_de_impresión</vt:lpstr>
      <vt:lpstr>'Aforo 3'!Área_de_impresión</vt:lpstr>
      <vt:lpstr>'Aforo 4'!Área_de_impresión</vt:lpstr>
      <vt:lpstr>'Aforo 1'!Títulos_a_imprimir</vt:lpstr>
      <vt:lpstr>'Aforo 2'!Títulos_a_imprimir</vt:lpstr>
      <vt:lpstr>'Aforo 3'!Títulos_a_imprimir</vt:lpstr>
      <vt:lpstr>'Aforo 4'!Títulos_a_imprimir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MATEO ALZATE</dc:creator>
  <cp:lastModifiedBy>MATEO ALZATE</cp:lastModifiedBy>
  <dcterms:created xsi:type="dcterms:W3CDTF">2019-04-11T19:24:47Z</dcterms:created>
  <dcterms:modified xsi:type="dcterms:W3CDTF">2019-05-16T20:38:31Z</dcterms:modified>
</cp:coreProperties>
</file>