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firstSheet="1" activeTab="1"/>
  </bookViews>
  <sheets>
    <sheet name="Planta y sección típica" sheetId="1" r:id="rId1"/>
    <sheet name="Aforo 1" sheetId="78" r:id="rId2"/>
    <sheet name="Aforo 2" sheetId="79" r:id="rId3"/>
    <sheet name="Aforo 3" sheetId="80" r:id="rId4"/>
    <sheet name="Aforo 4" sheetId="81" r:id="rId5"/>
  </sheets>
  <definedNames>
    <definedName name="_xlnm.Print_Area" localSheetId="2">'Aforo 2'!$B$1:$P$123</definedName>
    <definedName name="_xlnm.Print_Area" localSheetId="3">'Aforo 3'!$B$1:$P$118</definedName>
    <definedName name="_xlnm.Print_Area" localSheetId="4">'Aforo 4'!$B$1:$P$123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2" i="81" l="1"/>
  <c r="O111" i="81"/>
  <c r="G107" i="81"/>
  <c r="G106" i="81"/>
  <c r="G105" i="81"/>
  <c r="G104" i="81"/>
  <c r="G103" i="81"/>
  <c r="G102" i="81"/>
  <c r="G101" i="81"/>
  <c r="G100" i="81"/>
  <c r="G99" i="81"/>
  <c r="G98" i="81"/>
  <c r="G88" i="81"/>
  <c r="G87" i="81"/>
  <c r="G86" i="81"/>
  <c r="G85" i="81"/>
  <c r="K84" i="81"/>
  <c r="G83" i="81"/>
  <c r="G82" i="81"/>
  <c r="G81" i="81"/>
  <c r="G80" i="81"/>
  <c r="K79" i="81"/>
  <c r="G78" i="81"/>
  <c r="G77" i="81"/>
  <c r="G76" i="81"/>
  <c r="G75" i="81"/>
  <c r="K74" i="81"/>
  <c r="G73" i="81"/>
  <c r="G72" i="81"/>
  <c r="G71" i="81"/>
  <c r="G70" i="81"/>
  <c r="K69" i="81"/>
  <c r="B69" i="81"/>
  <c r="B74" i="81" s="1"/>
  <c r="B79" i="81" s="1"/>
  <c r="B84" i="81" s="1"/>
  <c r="G68" i="81"/>
  <c r="G67" i="81"/>
  <c r="G66" i="81"/>
  <c r="G65" i="81"/>
  <c r="K64" i="81"/>
  <c r="G63" i="81"/>
  <c r="G62" i="81"/>
  <c r="G61" i="81"/>
  <c r="G60" i="81"/>
  <c r="K59" i="81"/>
  <c r="G58" i="81"/>
  <c r="G57" i="81"/>
  <c r="G56" i="81"/>
  <c r="G55" i="81"/>
  <c r="K54" i="81"/>
  <c r="G53" i="81"/>
  <c r="G52" i="81"/>
  <c r="G51" i="81"/>
  <c r="G50" i="81"/>
  <c r="K49" i="81"/>
  <c r="G48" i="81"/>
  <c r="G47" i="81"/>
  <c r="G46" i="81"/>
  <c r="G45" i="81"/>
  <c r="K44" i="81"/>
  <c r="G43" i="81"/>
  <c r="G42" i="81"/>
  <c r="G41" i="81"/>
  <c r="G40" i="81"/>
  <c r="K39" i="81"/>
  <c r="G38" i="81"/>
  <c r="G37" i="81"/>
  <c r="G36" i="81"/>
  <c r="G35" i="81"/>
  <c r="K34" i="81"/>
  <c r="G33" i="81"/>
  <c r="G32" i="81"/>
  <c r="G31" i="81"/>
  <c r="G30" i="81"/>
  <c r="K29" i="81"/>
  <c r="G28" i="81"/>
  <c r="G27" i="81"/>
  <c r="G26" i="81"/>
  <c r="G25" i="81"/>
  <c r="K24" i="81"/>
  <c r="G23" i="81"/>
  <c r="G22" i="81"/>
  <c r="G21" i="81"/>
  <c r="G20" i="81"/>
  <c r="L19" i="81"/>
  <c r="K19" i="81"/>
  <c r="M19" i="81" s="1"/>
  <c r="C19" i="81"/>
  <c r="C24" i="81" s="1"/>
  <c r="C18" i="81"/>
  <c r="M24" i="81" l="1"/>
  <c r="L24" i="81"/>
  <c r="C29" i="81"/>
  <c r="L29" i="81" l="1"/>
  <c r="M29" i="81" s="1"/>
  <c r="C34" i="81"/>
  <c r="L34" i="81" l="1"/>
  <c r="M34" i="81" s="1"/>
  <c r="C39" i="81"/>
  <c r="C44" i="81" l="1"/>
  <c r="L39" i="81"/>
  <c r="M39" i="81" s="1"/>
  <c r="C49" i="81" l="1"/>
  <c r="L44" i="81"/>
  <c r="M44" i="81" s="1"/>
  <c r="L49" i="81" l="1"/>
  <c r="M49" i="81" s="1"/>
  <c r="C54" i="81"/>
  <c r="L54" i="81" l="1"/>
  <c r="M54" i="81" s="1"/>
  <c r="C59" i="81"/>
  <c r="C64" i="81" l="1"/>
  <c r="L59" i="81"/>
  <c r="M59" i="81" s="1"/>
  <c r="C69" i="81" l="1"/>
  <c r="L64" i="81"/>
  <c r="M64" i="81" s="1"/>
  <c r="C74" i="81" l="1"/>
  <c r="L69" i="81"/>
  <c r="M69" i="81" s="1"/>
  <c r="C79" i="81" l="1"/>
  <c r="L74" i="81"/>
  <c r="M74" i="81" s="1"/>
  <c r="C84" i="81" l="1"/>
  <c r="L84" i="81" s="1"/>
  <c r="L79" i="81"/>
  <c r="M79" i="81" s="1"/>
  <c r="M84" i="81" l="1"/>
  <c r="L108" i="81"/>
  <c r="M108" i="81" l="1"/>
  <c r="K108" i="81" l="1"/>
  <c r="N19" i="81"/>
  <c r="N24" i="81"/>
  <c r="N29" i="81"/>
  <c r="N34" i="81"/>
  <c r="N39" i="81"/>
  <c r="N44" i="81"/>
  <c r="N49" i="81"/>
  <c r="N54" i="81"/>
  <c r="N59" i="81"/>
  <c r="N64" i="81"/>
  <c r="N69" i="81"/>
  <c r="N74" i="81"/>
  <c r="N79" i="81"/>
  <c r="N84" i="81"/>
  <c r="N108" i="81" l="1"/>
  <c r="O107" i="80" l="1"/>
  <c r="O106" i="80"/>
  <c r="G102" i="80"/>
  <c r="G101" i="80"/>
  <c r="G100" i="80"/>
  <c r="G99" i="80"/>
  <c r="G98" i="80"/>
  <c r="G97" i="80"/>
  <c r="G96" i="80"/>
  <c r="G95" i="80"/>
  <c r="G94" i="80"/>
  <c r="G93" i="80"/>
  <c r="G83" i="80"/>
  <c r="G82" i="80"/>
  <c r="G81" i="80"/>
  <c r="G80" i="80"/>
  <c r="K79" i="80"/>
  <c r="G78" i="80"/>
  <c r="G77" i="80"/>
  <c r="G76" i="80"/>
  <c r="G75" i="80"/>
  <c r="K74" i="80"/>
  <c r="G73" i="80"/>
  <c r="G72" i="80"/>
  <c r="G71" i="80"/>
  <c r="G70" i="80"/>
  <c r="K69" i="80"/>
  <c r="G68" i="80"/>
  <c r="G67" i="80"/>
  <c r="G66" i="80"/>
  <c r="G65" i="80"/>
  <c r="K64" i="80"/>
  <c r="G63" i="80"/>
  <c r="G62" i="80"/>
  <c r="G61" i="80"/>
  <c r="G60" i="80"/>
  <c r="K59" i="80"/>
  <c r="G58" i="80"/>
  <c r="G57" i="80"/>
  <c r="G56" i="80"/>
  <c r="G55" i="80"/>
  <c r="K54" i="80"/>
  <c r="G53" i="80"/>
  <c r="G52" i="80"/>
  <c r="G51" i="80"/>
  <c r="G50" i="80"/>
  <c r="K49" i="80"/>
  <c r="G48" i="80"/>
  <c r="G47" i="80"/>
  <c r="G46" i="80"/>
  <c r="G45" i="80"/>
  <c r="K44" i="80"/>
  <c r="G43" i="80"/>
  <c r="G42" i="80"/>
  <c r="G41" i="80"/>
  <c r="G40" i="80"/>
  <c r="K39" i="80"/>
  <c r="G38" i="80"/>
  <c r="G37" i="80"/>
  <c r="G36" i="80"/>
  <c r="G35" i="80"/>
  <c r="K34" i="80"/>
  <c r="G33" i="80"/>
  <c r="G32" i="80"/>
  <c r="G31" i="80"/>
  <c r="G30" i="80"/>
  <c r="K29" i="80"/>
  <c r="G28" i="80"/>
  <c r="G27" i="80"/>
  <c r="G26" i="80"/>
  <c r="G25" i="80"/>
  <c r="K24" i="80"/>
  <c r="C24" i="80"/>
  <c r="L24" i="80" s="1"/>
  <c r="M24" i="80" s="1"/>
  <c r="G23" i="80"/>
  <c r="G22" i="80"/>
  <c r="G21" i="80"/>
  <c r="G20" i="80"/>
  <c r="K19" i="80"/>
  <c r="C19" i="80"/>
  <c r="L19" i="80" s="1"/>
  <c r="C18" i="80"/>
  <c r="M19" i="80" l="1"/>
  <c r="C29" i="80"/>
  <c r="L29" i="80" l="1"/>
  <c r="C34" i="80"/>
  <c r="C39" i="80" l="1"/>
  <c r="L34" i="80"/>
  <c r="M34" i="80" s="1"/>
  <c r="M29" i="80"/>
  <c r="L39" i="80" l="1"/>
  <c r="C44" i="80"/>
  <c r="M39" i="80" l="1"/>
  <c r="L44" i="80"/>
  <c r="M44" i="80" s="1"/>
  <c r="C49" i="80"/>
  <c r="L49" i="80" l="1"/>
  <c r="M49" i="80" s="1"/>
  <c r="C54" i="80"/>
  <c r="C59" i="80" l="1"/>
  <c r="L54" i="80"/>
  <c r="M54" i="80" s="1"/>
  <c r="C64" i="80" l="1"/>
  <c r="L59" i="80"/>
  <c r="M59" i="80" s="1"/>
  <c r="L64" i="80" l="1"/>
  <c r="M64" i="80" s="1"/>
  <c r="C69" i="80"/>
  <c r="L69" i="80" l="1"/>
  <c r="M69" i="80" s="1"/>
  <c r="C74" i="80"/>
  <c r="C79" i="80" l="1"/>
  <c r="L79" i="80" s="1"/>
  <c r="L74" i="80"/>
  <c r="M74" i="80" s="1"/>
  <c r="M79" i="80" l="1"/>
  <c r="L103" i="80"/>
  <c r="M103" i="80" l="1"/>
  <c r="K103" i="80" l="1"/>
  <c r="N24" i="80"/>
  <c r="N19" i="80"/>
  <c r="N29" i="80"/>
  <c r="N34" i="80"/>
  <c r="N39" i="80"/>
  <c r="N44" i="80"/>
  <c r="N49" i="80"/>
  <c r="N54" i="80"/>
  <c r="N59" i="80"/>
  <c r="N64" i="80"/>
  <c r="N69" i="80"/>
  <c r="N74" i="80"/>
  <c r="N79" i="80"/>
  <c r="N103" i="80" l="1"/>
  <c r="O112" i="79" l="1"/>
  <c r="O111" i="79"/>
  <c r="G107" i="79"/>
  <c r="G106" i="79"/>
  <c r="G105" i="79"/>
  <c r="G104" i="79"/>
  <c r="G103" i="79"/>
  <c r="G102" i="79"/>
  <c r="G101" i="79"/>
  <c r="G100" i="79"/>
  <c r="G99" i="79"/>
  <c r="G98" i="79"/>
  <c r="G88" i="79"/>
  <c r="G87" i="79"/>
  <c r="G86" i="79"/>
  <c r="G85" i="79"/>
  <c r="K84" i="79"/>
  <c r="G83" i="79"/>
  <c r="G82" i="79"/>
  <c r="G81" i="79"/>
  <c r="G80" i="79"/>
  <c r="K79" i="79"/>
  <c r="G78" i="79"/>
  <c r="G77" i="79"/>
  <c r="G76" i="79"/>
  <c r="G75" i="79"/>
  <c r="K74" i="79"/>
  <c r="G73" i="79"/>
  <c r="G72" i="79"/>
  <c r="G71" i="79"/>
  <c r="G70" i="79"/>
  <c r="K69" i="79"/>
  <c r="G68" i="79"/>
  <c r="G67" i="79"/>
  <c r="G66" i="79"/>
  <c r="G65" i="79"/>
  <c r="K64" i="79"/>
  <c r="G63" i="79"/>
  <c r="G62" i="79"/>
  <c r="G61" i="79"/>
  <c r="G60" i="79"/>
  <c r="K59" i="79"/>
  <c r="G58" i="79"/>
  <c r="G57" i="79"/>
  <c r="G56" i="79"/>
  <c r="G55" i="79"/>
  <c r="K54" i="79"/>
  <c r="G53" i="79"/>
  <c r="G52" i="79"/>
  <c r="G51" i="79"/>
  <c r="G50" i="79"/>
  <c r="K49" i="79"/>
  <c r="G48" i="79"/>
  <c r="G47" i="79"/>
  <c r="G46" i="79"/>
  <c r="G45" i="79"/>
  <c r="K44" i="79"/>
  <c r="G43" i="79"/>
  <c r="G42" i="79"/>
  <c r="G41" i="79"/>
  <c r="G40" i="79"/>
  <c r="K39" i="79"/>
  <c r="G38" i="79"/>
  <c r="G37" i="79"/>
  <c r="G36" i="79"/>
  <c r="G35" i="79"/>
  <c r="K34" i="79"/>
  <c r="G33" i="79"/>
  <c r="G32" i="79"/>
  <c r="G31" i="79"/>
  <c r="G30" i="79"/>
  <c r="K29" i="79"/>
  <c r="G28" i="79"/>
  <c r="G27" i="79"/>
  <c r="G26" i="79"/>
  <c r="G25" i="79"/>
  <c r="K24" i="79"/>
  <c r="G23" i="79"/>
  <c r="G22" i="79"/>
  <c r="G21" i="79"/>
  <c r="G20" i="79"/>
  <c r="K19" i="79"/>
  <c r="C18" i="79"/>
  <c r="C19" i="79" s="1"/>
  <c r="C24" i="79" l="1"/>
  <c r="L19" i="79"/>
  <c r="L24" i="79" l="1"/>
  <c r="M24" i="79" s="1"/>
  <c r="C29" i="79"/>
  <c r="M19" i="79"/>
  <c r="C34" i="79" l="1"/>
  <c r="L29" i="79"/>
  <c r="M29" i="79" l="1"/>
  <c r="L34" i="79"/>
  <c r="M34" i="79" s="1"/>
  <c r="C39" i="79"/>
  <c r="C44" i="79" l="1"/>
  <c r="L39" i="79"/>
  <c r="M39" i="79" s="1"/>
  <c r="L44" i="79" l="1"/>
  <c r="C49" i="79"/>
  <c r="C54" i="79" l="1"/>
  <c r="L49" i="79"/>
  <c r="M49" i="79" s="1"/>
  <c r="M44" i="79"/>
  <c r="L54" i="79" l="1"/>
  <c r="C59" i="79"/>
  <c r="M54" i="79" l="1"/>
  <c r="C64" i="79"/>
  <c r="L59" i="79"/>
  <c r="M59" i="79" s="1"/>
  <c r="L64" i="79" l="1"/>
  <c r="M64" i="79" s="1"/>
  <c r="C69" i="79"/>
  <c r="C74" i="79" l="1"/>
  <c r="L69" i="79"/>
  <c r="M69" i="79" s="1"/>
  <c r="L74" i="79" l="1"/>
  <c r="M74" i="79" s="1"/>
  <c r="C79" i="79"/>
  <c r="C84" i="79" l="1"/>
  <c r="L84" i="79" s="1"/>
  <c r="L79" i="79"/>
  <c r="M79" i="79" s="1"/>
  <c r="M84" i="79" l="1"/>
  <c r="L108" i="79"/>
  <c r="M108" i="79" l="1"/>
  <c r="K108" i="79" l="1"/>
  <c r="N19" i="79"/>
  <c r="N24" i="79"/>
  <c r="N29" i="79"/>
  <c r="N34" i="79"/>
  <c r="N39" i="79"/>
  <c r="N44" i="79"/>
  <c r="N49" i="79"/>
  <c r="N59" i="79"/>
  <c r="N54" i="79"/>
  <c r="N64" i="79"/>
  <c r="N69" i="79"/>
  <c r="N74" i="79"/>
  <c r="N79" i="79"/>
  <c r="N84" i="79"/>
  <c r="N108" i="79" l="1"/>
  <c r="O112" i="78" l="1"/>
  <c r="O111" i="78"/>
  <c r="G107" i="78"/>
  <c r="G106" i="78"/>
  <c r="G105" i="78"/>
  <c r="G104" i="78"/>
  <c r="G103" i="78"/>
  <c r="G102" i="78"/>
  <c r="G101" i="78"/>
  <c r="G100" i="78"/>
  <c r="G99" i="78"/>
  <c r="G98" i="78"/>
  <c r="G88" i="78"/>
  <c r="G87" i="78"/>
  <c r="G86" i="78"/>
  <c r="G85" i="78"/>
  <c r="K84" i="78"/>
  <c r="G83" i="78"/>
  <c r="G82" i="78"/>
  <c r="G81" i="78"/>
  <c r="G80" i="78"/>
  <c r="K79" i="78"/>
  <c r="G78" i="78"/>
  <c r="G77" i="78"/>
  <c r="G76" i="78"/>
  <c r="G75" i="78"/>
  <c r="K74" i="78"/>
  <c r="G73" i="78"/>
  <c r="G72" i="78"/>
  <c r="G71" i="78"/>
  <c r="G70" i="78"/>
  <c r="K69" i="78"/>
  <c r="G68" i="78"/>
  <c r="G67" i="78"/>
  <c r="G66" i="78"/>
  <c r="G65" i="78"/>
  <c r="K64" i="78"/>
  <c r="G63" i="78"/>
  <c r="G62" i="78"/>
  <c r="G61" i="78"/>
  <c r="G60" i="78"/>
  <c r="K59" i="78"/>
  <c r="G58" i="78"/>
  <c r="G57" i="78"/>
  <c r="G56" i="78"/>
  <c r="G55" i="78"/>
  <c r="K54" i="78"/>
  <c r="G53" i="78"/>
  <c r="G52" i="78"/>
  <c r="G51" i="78"/>
  <c r="G50" i="78"/>
  <c r="K49" i="78"/>
  <c r="G48" i="78"/>
  <c r="G47" i="78"/>
  <c r="G46" i="78"/>
  <c r="G45" i="78"/>
  <c r="K44" i="78"/>
  <c r="G43" i="78"/>
  <c r="G42" i="78"/>
  <c r="G41" i="78"/>
  <c r="G40" i="78"/>
  <c r="K39" i="78"/>
  <c r="G38" i="78"/>
  <c r="G37" i="78"/>
  <c r="G36" i="78"/>
  <c r="G35" i="78"/>
  <c r="K34" i="78"/>
  <c r="G33" i="78"/>
  <c r="G32" i="78"/>
  <c r="G31" i="78"/>
  <c r="G30" i="78"/>
  <c r="K29" i="78"/>
  <c r="G28" i="78"/>
  <c r="G27" i="78"/>
  <c r="G26" i="78"/>
  <c r="G25" i="78"/>
  <c r="K24" i="78"/>
  <c r="G23" i="78"/>
  <c r="G22" i="78"/>
  <c r="G21" i="78"/>
  <c r="G20" i="78"/>
  <c r="L19" i="78"/>
  <c r="K19" i="78"/>
  <c r="M19" i="78" s="1"/>
  <c r="C19" i="78"/>
  <c r="C24" i="78" s="1"/>
  <c r="C18" i="78"/>
  <c r="L24" i="78" l="1"/>
  <c r="C29" i="78"/>
  <c r="M24" i="78"/>
  <c r="L29" i="78" l="1"/>
  <c r="C34" i="78"/>
  <c r="M29" i="78" l="1"/>
  <c r="L34" i="78"/>
  <c r="M34" i="78" s="1"/>
  <c r="C39" i="78"/>
  <c r="C44" i="78" l="1"/>
  <c r="L39" i="78"/>
  <c r="M39" i="78" s="1"/>
  <c r="C49" i="78" l="1"/>
  <c r="L44" i="78"/>
  <c r="M44" i="78" s="1"/>
  <c r="L49" i="78" l="1"/>
  <c r="M49" i="78" s="1"/>
  <c r="C54" i="78"/>
  <c r="L54" i="78" l="1"/>
  <c r="M54" i="78" s="1"/>
  <c r="C59" i="78"/>
  <c r="C64" i="78" l="1"/>
  <c r="L59" i="78"/>
  <c r="M59" i="78" s="1"/>
  <c r="L64" i="78" l="1"/>
  <c r="M64" i="78" s="1"/>
  <c r="C69" i="78"/>
  <c r="L69" i="78" l="1"/>
  <c r="M69" i="78" s="1"/>
  <c r="C74" i="78"/>
  <c r="L74" i="78" l="1"/>
  <c r="M74" i="78" s="1"/>
  <c r="C79" i="78"/>
  <c r="C84" i="78" l="1"/>
  <c r="L84" i="78" s="1"/>
  <c r="L79" i="78"/>
  <c r="M79" i="78" s="1"/>
  <c r="M84" i="78" l="1"/>
  <c r="L108" i="78"/>
  <c r="M108" i="78" l="1"/>
  <c r="K108" i="78" l="1"/>
  <c r="N19" i="78"/>
  <c r="N24" i="78"/>
  <c r="N34" i="78"/>
  <c r="N29" i="78"/>
  <c r="N39" i="78"/>
  <c r="N44" i="78"/>
  <c r="N49" i="78"/>
  <c r="N54" i="78"/>
  <c r="N59" i="78"/>
  <c r="N64" i="78"/>
  <c r="N69" i="78"/>
  <c r="N74" i="78"/>
  <c r="N79" i="78"/>
  <c r="N84" i="78"/>
  <c r="N108" i="78" l="1"/>
</calcChain>
</file>

<file path=xl/sharedStrings.xml><?xml version="1.0" encoding="utf-8"?>
<sst xmlns="http://schemas.openxmlformats.org/spreadsheetml/2006/main" count="723" uniqueCount="127">
  <si>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</si>
  <si>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</si>
  <si>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</si>
  <si>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</si>
  <si>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</si>
  <si>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</si>
  <si>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</si>
  <si>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</si>
  <si>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</si>
  <si>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</si>
  <si>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</si>
  <si>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</si>
  <si>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</si>
  <si>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</si>
  <si>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</si>
  <si>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</si>
  <si>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</si>
  <si>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</si>
  <si>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</si>
  <si>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</si>
  <si>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</si>
  <si>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</si>
  <si>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</si>
  <si>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</si>
  <si>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</si>
  <si>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</si>
  <si>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</si>
  <si>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</si>
  <si>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</si>
  <si>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</si>
  <si>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</si>
  <si>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</si>
  <si>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</si>
  <si>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</si>
  <si>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</si>
  <si>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</si>
  <si>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</si>
  <si>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</si>
  <si>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</si>
  <si>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</si>
  <si>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</si>
  <si>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</si>
  <si>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</si>
  <si>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</si>
  <si>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</si>
  <si>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</si>
  <si>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</si>
  <si>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</si>
  <si>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</si>
  <si>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</si>
  <si>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</si>
  <si>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</si>
  <si>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Medida de la temperatura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</si>
  <si>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</si>
  <si>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</si>
  <si>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</si>
  <si>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</si>
  <si>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</si>
  <si>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</si>
  <si>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</si>
  <si>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</si>
  <si>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</si>
  <si>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</si>
  <si>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</si>
  <si>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</si>
  <si>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</si>
  <si>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</si>
  <si>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</si>
  <si>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</si>
  <si>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</si>
  <si>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</si>
  <si>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</si>
  <si>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</si>
  <si>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</si>
  <si>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</si>
  <si>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</si>
  <si>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</si>
  <si>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</si>
  <si>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</si>
  <si>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</si>
  <si>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</si>
  <si>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</si>
  <si>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</si>
  <si>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</si>
  <si>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</si>
  <si>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</si>
  <si>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</si>
  <si>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</si>
  <si>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</si>
  <si>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</si>
  <si>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</si>
  <si>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</si>
  <si>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</si>
  <si>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</si>
  <si>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</si>
  <si>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</si>
  <si>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</si>
  <si>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</si>
  <si>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</si>
  <si>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</si>
  <si>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</si>
  <si>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</si>
  <si>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</si>
  <si>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</si>
  <si>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t>Organizando sección de aforo</t>
  </si>
  <si>
    <t>Detalle del aforo</t>
  </si>
  <si>
    <r>
      <t xml:space="preserve">Qt = </t>
    </r>
    <r>
      <rPr>
        <sz val="10"/>
        <color theme="1"/>
        <rFont val="Calibri"/>
        <family val="2"/>
      </rPr>
      <t>ΣQi</t>
    </r>
  </si>
  <si>
    <t>Como la altura maxima es inferior a 0.125 m, el calculo de Vx no aplica</t>
  </si>
  <si>
    <t>Calido</t>
  </si>
  <si>
    <t>Soleado</t>
  </si>
  <si>
    <t>QUEBRADA SALINAS - RELLENO SANITARIO EMAS</t>
  </si>
  <si>
    <t>N 5° 3'56.46"</t>
  </si>
  <si>
    <t>W 75° 29'18.78"</t>
  </si>
  <si>
    <t>Cálido</t>
  </si>
  <si>
    <t>0.071</t>
  </si>
  <si>
    <t>Durante la jornada de aforo se determinó el perfil de la sección de aforo, se midió la altura del nivel del agua al sensor.</t>
  </si>
  <si>
    <t>Toma de temperatura</t>
  </si>
  <si>
    <t>Detalle general del aforo</t>
  </si>
  <si>
    <t>Detaller general del aforo</t>
  </si>
  <si>
    <t>MATEO ALZATE JARAMILLO</t>
  </si>
  <si>
    <t>CARLOS COCUY</t>
  </si>
  <si>
    <t>Frio con lloviznas</t>
  </si>
  <si>
    <t>QUEBRADA SALINAS-RELLENO SANITARIO EMAS</t>
  </si>
  <si>
    <t>C</t>
  </si>
  <si>
    <t>Detalle medida de la temperatura</t>
  </si>
  <si>
    <t>Formato L1.2: Medición de caudal por el método área-velocidad: medidas desde la superficie del agua con medidor electromagnético</t>
  </si>
  <si>
    <t>Convenio 221/2016 OPERACIÓN Y MENTENIMIENTO REDES HIDROMETEROLÓGICAS,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</si>
</sst>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14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61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Font="1" applyBorder="1"/>
    <xf numFmtId="0" fontId="0" fillId="0" borderId="0" xfId="0" applyFont="1" applyAlignment="1"/>
    <xf numFmtId="0" fontId="2" fillId="0" borderId="41" xfId="0" applyFont="1" applyBorder="1"/>
    <xf numFmtId="0" fontId="2" fillId="0" borderId="48" xfId="0" applyFont="1" applyBorder="1" applyAlignment="1">
      <alignment horizontal="center" vertical="center"/>
    </xf>
    <xf numFmtId="0" fontId="2" fillId="0" borderId="48" xfId="0" applyFont="1" applyBorder="1" applyAlignment="1">
      <alignment vertical="center"/>
    </xf>
    <xf numFmtId="0" fontId="15" fillId="5" borderId="51" xfId="0" applyFont="1" applyFill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41" xfId="0" applyFont="1" applyFill="1" applyBorder="1" applyAlignment="1">
      <alignment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vertical="center"/>
    </xf>
    <xf numFmtId="0" fontId="15" fillId="0" borderId="5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9" fillId="0" borderId="58" xfId="0" applyFont="1" applyFill="1" applyBorder="1" applyAlignment="1">
      <alignment horizontal="center" vertical="center"/>
    </xf>
    <xf numFmtId="0" fontId="2" fillId="0" borderId="64" xfId="0" applyFont="1" applyFill="1" applyBorder="1" applyAlignment="1">
      <alignment horizontal="center" vertical="center"/>
    </xf>
    <xf numFmtId="0" fontId="19" fillId="0" borderId="74" xfId="0" applyFont="1" applyFill="1" applyBorder="1" applyAlignment="1">
      <alignment vertical="top" wrapText="1"/>
    </xf>
    <xf numFmtId="0" fontId="19" fillId="0" borderId="58" xfId="0" applyFont="1" applyFill="1" applyBorder="1" applyAlignment="1">
      <alignment horizontal="center" vertical="top" wrapText="1"/>
    </xf>
    <xf numFmtId="0" fontId="19" fillId="0" borderId="77" xfId="0" applyFont="1" applyFill="1" applyBorder="1" applyAlignment="1">
      <alignment horizontal="center"/>
    </xf>
    <xf numFmtId="0" fontId="22" fillId="7" borderId="0" xfId="0" applyFont="1" applyFill="1" applyBorder="1" applyAlignment="1">
      <alignment horizontal="left" vertical="center" wrapText="1"/>
    </xf>
    <xf numFmtId="0" fontId="18" fillId="6" borderId="80" xfId="0" applyFont="1" applyFill="1" applyBorder="1" applyAlignment="1">
      <alignment horizontal="center" vertical="center"/>
    </xf>
    <xf numFmtId="0" fontId="18" fillId="6" borderId="97" xfId="0" applyFont="1" applyFill="1" applyBorder="1" applyAlignment="1">
      <alignment vertical="center"/>
    </xf>
    <xf numFmtId="0" fontId="18" fillId="6" borderId="97" xfId="0" applyFont="1" applyFill="1" applyBorder="1" applyAlignment="1">
      <alignment horizontal="center" vertical="center"/>
    </xf>
    <xf numFmtId="0" fontId="18" fillId="6" borderId="58" xfId="0" applyFont="1" applyFill="1" applyBorder="1" applyAlignment="1">
      <alignment horizontal="center" vertical="center"/>
    </xf>
    <xf numFmtId="0" fontId="2" fillId="0" borderId="91" xfId="0" applyFont="1" applyBorder="1"/>
    <xf numFmtId="0" fontId="18" fillId="6" borderId="91" xfId="0" applyFont="1" applyFill="1" applyBorder="1" applyAlignment="1">
      <alignment vertical="center"/>
    </xf>
    <xf numFmtId="0" fontId="18" fillId="6" borderId="100" xfId="0" applyFont="1" applyFill="1" applyBorder="1" applyAlignment="1">
      <alignment horizontal="center" vertical="center"/>
    </xf>
    <xf numFmtId="0" fontId="18" fillId="6" borderId="87" xfId="0" applyFont="1" applyFill="1" applyBorder="1" applyAlignment="1">
      <alignment horizontal="center" vertical="center"/>
    </xf>
    <xf numFmtId="0" fontId="24" fillId="0" borderId="0" xfId="0" applyFont="1" applyFill="1"/>
    <xf numFmtId="0" fontId="18" fillId="0" borderId="79" xfId="0" applyFont="1" applyFill="1" applyBorder="1" applyAlignment="1">
      <alignment horizontal="center" vertical="center" wrapText="1"/>
    </xf>
    <xf numFmtId="0" fontId="2" fillId="0" borderId="95" xfId="0" applyFont="1" applyFill="1" applyBorder="1" applyAlignment="1">
      <alignment horizontal="center" vertical="center" wrapText="1"/>
    </xf>
    <xf numFmtId="0" fontId="18" fillId="0" borderId="95" xfId="0" applyFont="1" applyFill="1" applyBorder="1" applyAlignment="1">
      <alignment horizontal="center" vertical="center"/>
    </xf>
    <xf numFmtId="0" fontId="12" fillId="0" borderId="95" xfId="0" applyFont="1" applyFill="1" applyBorder="1" applyAlignment="1">
      <alignment horizontal="center"/>
    </xf>
    <xf numFmtId="2" fontId="14" fillId="0" borderId="95" xfId="0" applyNumberFormat="1" applyFont="1" applyFill="1" applyBorder="1" applyAlignment="1">
      <alignment vertical="center"/>
    </xf>
    <xf numFmtId="164" fontId="14" fillId="0" borderId="95" xfId="0" applyNumberFormat="1" applyFont="1" applyFill="1" applyBorder="1" applyAlignment="1">
      <alignment vertical="center"/>
    </xf>
    <xf numFmtId="0" fontId="18" fillId="0" borderId="10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horizontal="center" vertical="center"/>
    </xf>
    <xf numFmtId="2" fontId="14" fillId="0" borderId="97" xfId="0" applyNumberFormat="1" applyFont="1" applyFill="1" applyBorder="1" applyAlignment="1">
      <alignment vertical="center"/>
    </xf>
    <xf numFmtId="0" fontId="2" fillId="0" borderId="97" xfId="0" applyFont="1" applyFill="1" applyBorder="1"/>
    <xf numFmtId="164" fontId="14" fillId="0" borderId="97" xfId="0" applyNumberFormat="1" applyFont="1" applyFill="1" applyBorder="1" applyAlignment="1">
      <alignment horizontal="center" vertical="center"/>
    </xf>
    <xf numFmtId="0" fontId="12" fillId="0" borderId="102" xfId="0" applyFont="1" applyFill="1" applyBorder="1" applyAlignment="1">
      <alignment horizontal="center"/>
    </xf>
    <xf numFmtId="2" fontId="14" fillId="0" borderId="102" xfId="0" applyNumberFormat="1" applyFont="1" applyFill="1" applyBorder="1" applyAlignment="1">
      <alignment horizontal="center" vertical="center"/>
    </xf>
    <xf numFmtId="2" fontId="14" fillId="0" borderId="102" xfId="0" applyNumberFormat="1" applyFont="1" applyFill="1" applyBorder="1" applyAlignment="1">
      <alignment vertical="center"/>
    </xf>
    <xf numFmtId="0" fontId="2" fillId="0" borderId="102" xfId="0" applyFont="1" applyFill="1" applyBorder="1"/>
    <xf numFmtId="164" fontId="14" fillId="0" borderId="102" xfId="0" applyNumberFormat="1" applyFont="1" applyFill="1" applyBorder="1" applyAlignment="1">
      <alignment horizontal="center" vertical="center"/>
    </xf>
    <xf numFmtId="0" fontId="12" fillId="0" borderId="105" xfId="0" applyFont="1" applyFill="1" applyBorder="1" applyAlignment="1">
      <alignment horizontal="center"/>
    </xf>
    <xf numFmtId="2" fontId="14" fillId="0" borderId="105" xfId="0" applyNumberFormat="1" applyFont="1" applyFill="1" applyBorder="1" applyAlignment="1">
      <alignment horizontal="center" vertical="center"/>
    </xf>
    <xf numFmtId="2" fontId="14" fillId="0" borderId="105" xfId="0" applyNumberFormat="1" applyFont="1" applyFill="1" applyBorder="1" applyAlignment="1">
      <alignment vertical="center"/>
    </xf>
    <xf numFmtId="0" fontId="2" fillId="0" borderId="105" xfId="0" applyFont="1" applyFill="1" applyBorder="1"/>
    <xf numFmtId="164" fontId="14" fillId="0" borderId="105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08" xfId="0" applyFont="1" applyFill="1" applyBorder="1" applyAlignment="1">
      <alignment vertical="center" wrapText="1"/>
    </xf>
    <xf numFmtId="0" fontId="24" fillId="0" borderId="41" xfId="0" applyFont="1" applyBorder="1"/>
    <xf numFmtId="2" fontId="14" fillId="10" borderId="112" xfId="0" applyNumberFormat="1" applyFont="1" applyFill="1" applyBorder="1" applyAlignment="1">
      <alignment horizontal="center" vertical="center"/>
    </xf>
    <xf numFmtId="2" fontId="14" fillId="10" borderId="112" xfId="0" applyNumberFormat="1" applyFont="1" applyFill="1" applyBorder="1" applyAlignment="1">
      <alignment horizontal="center"/>
    </xf>
    <xf numFmtId="164" fontId="2" fillId="10" borderId="112" xfId="0" applyNumberFormat="1" applyFont="1" applyFill="1" applyBorder="1" applyAlignment="1">
      <alignment horizontal="center"/>
    </xf>
    <xf numFmtId="164" fontId="2" fillId="9" borderId="112" xfId="0" applyNumberFormat="1" applyFont="1" applyFill="1" applyBorder="1" applyAlignment="1">
      <alignment horizontal="center"/>
    </xf>
    <xf numFmtId="0" fontId="24" fillId="0" borderId="0" xfId="0" applyFont="1"/>
    <xf numFmtId="0" fontId="14" fillId="10" borderId="102" xfId="0" applyFont="1" applyFill="1" applyBorder="1" applyAlignment="1">
      <alignment horizontal="center"/>
    </xf>
    <xf numFmtId="2" fontId="14" fillId="10" borderId="102" xfId="0" applyNumberFormat="1" applyFont="1" applyFill="1" applyBorder="1" applyAlignment="1">
      <alignment horizontal="center" vertical="center"/>
    </xf>
    <xf numFmtId="2" fontId="14" fillId="10" borderId="102" xfId="0" applyNumberFormat="1" applyFont="1" applyFill="1" applyBorder="1" applyAlignment="1">
      <alignment horizontal="center"/>
    </xf>
    <xf numFmtId="164" fontId="2" fillId="10" borderId="102" xfId="0" applyNumberFormat="1" applyFont="1" applyFill="1" applyBorder="1" applyAlignment="1">
      <alignment horizontal="center"/>
    </xf>
    <xf numFmtId="164" fontId="2" fillId="9" borderId="102" xfId="0" applyNumberFormat="1" applyFont="1" applyFill="1" applyBorder="1" applyAlignment="1">
      <alignment horizontal="center"/>
    </xf>
    <xf numFmtId="2" fontId="14" fillId="10" borderId="119" xfId="0" applyNumberFormat="1" applyFont="1" applyFill="1" applyBorder="1" applyAlignment="1">
      <alignment horizontal="center" vertical="center"/>
    </xf>
    <xf numFmtId="2" fontId="14" fillId="10" borderId="119" xfId="0" applyNumberFormat="1" applyFont="1" applyFill="1" applyBorder="1" applyAlignment="1">
      <alignment horizontal="center"/>
    </xf>
    <xf numFmtId="164" fontId="2" fillId="10" borderId="119" xfId="0" applyNumberFormat="1" applyFont="1" applyFill="1" applyBorder="1" applyAlignment="1">
      <alignment horizontal="center"/>
    </xf>
    <xf numFmtId="164" fontId="2" fillId="11" borderId="119" xfId="0" applyNumberFormat="1" applyFont="1" applyFill="1" applyBorder="1" applyAlignment="1">
      <alignment horizontal="center"/>
    </xf>
    <xf numFmtId="164" fontId="14" fillId="0" borderId="95" xfId="0" applyNumberFormat="1" applyFont="1" applyFill="1" applyBorder="1" applyAlignment="1">
      <alignment horizontal="center" vertical="center"/>
    </xf>
    <xf numFmtId="2" fontId="14" fillId="0" borderId="95" xfId="0" applyNumberFormat="1" applyFont="1" applyFill="1" applyBorder="1" applyAlignment="1">
      <alignment horizontal="center" vertical="center"/>
    </xf>
    <xf numFmtId="0" fontId="15" fillId="0" borderId="67" xfId="0" applyFont="1" applyFill="1" applyBorder="1" applyAlignment="1">
      <alignment horizontal="center" vertical="center"/>
    </xf>
    <xf numFmtId="0" fontId="15" fillId="0" borderId="67" xfId="0" applyFont="1" applyFill="1" applyBorder="1" applyAlignment="1">
      <alignment horizontal="center" vertical="top" wrapText="1"/>
    </xf>
    <xf numFmtId="0" fontId="15" fillId="0" borderId="84" xfId="0" applyFont="1" applyFill="1" applyBorder="1" applyAlignment="1">
      <alignment horizontal="center" vertical="center" wrapText="1"/>
    </xf>
    <xf numFmtId="20" fontId="15" fillId="0" borderId="87" xfId="0" applyNumberFormat="1" applyFont="1" applyFill="1" applyBorder="1" applyAlignment="1">
      <alignment horizontal="center" vertical="top"/>
    </xf>
    <xf numFmtId="0" fontId="15" fillId="0" borderId="88" xfId="0" applyFont="1" applyFill="1" applyBorder="1" applyAlignment="1">
      <alignment horizontal="center" vertical="top"/>
    </xf>
    <xf numFmtId="0" fontId="15" fillId="0" borderId="77" xfId="0" applyFont="1" applyFill="1" applyBorder="1" applyAlignment="1">
      <alignment horizontal="center" vertical="center"/>
    </xf>
    <xf numFmtId="0" fontId="15" fillId="0" borderId="91" xfId="0" applyFont="1" applyFill="1" applyBorder="1" applyAlignment="1">
      <alignment horizontal="center" vertical="center"/>
    </xf>
    <xf numFmtId="164" fontId="18" fillId="5" borderId="123" xfId="0" applyNumberFormat="1" applyFont="1" applyFill="1" applyBorder="1" applyAlignment="1">
      <alignment horizontal="center" vertical="center"/>
    </xf>
    <xf numFmtId="2" fontId="15" fillId="0" borderId="88" xfId="0" applyNumberFormat="1" applyFont="1" applyFill="1" applyBorder="1" applyAlignment="1">
      <alignment horizontal="center" vertical="top"/>
    </xf>
    <xf numFmtId="164" fontId="0" fillId="0" borderId="0" xfId="0" applyNumberFormat="1"/>
    <xf numFmtId="0" fontId="26" fillId="14" borderId="134" xfId="0" applyFont="1" applyFill="1" applyBorder="1" applyAlignment="1">
      <alignment horizontal="center" wrapText="1"/>
    </xf>
    <xf numFmtId="0" fontId="4" fillId="14" borderId="29" xfId="0" applyFont="1" applyFill="1" applyBorder="1" applyAlignment="1">
      <alignment horizontal="center" vertical="top" wrapText="1"/>
    </xf>
    <xf numFmtId="0" fontId="26" fillId="14" borderId="134" xfId="0" applyFont="1" applyFill="1" applyBorder="1" applyAlignment="1">
      <alignment horizontal="center" vertical="center" wrapText="1"/>
    </xf>
    <xf numFmtId="0" fontId="4" fillId="14" borderId="29" xfId="0" applyFont="1" applyFill="1" applyBorder="1" applyAlignment="1">
      <alignment horizontal="center" vertical="center" wrapText="1"/>
    </xf>
    <xf numFmtId="0" fontId="0" fillId="0" borderId="32" xfId="0" applyFont="1" applyBorder="1"/>
    <xf numFmtId="0" fontId="1" fillId="0" borderId="17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3" fillId="0" borderId="43" xfId="0" applyFont="1" applyBorder="1" applyAlignment="1">
      <alignment horizontal="center" wrapText="1"/>
    </xf>
    <xf numFmtId="0" fontId="14" fillId="0" borderId="43" xfId="0" applyFont="1" applyBorder="1"/>
    <xf numFmtId="14" fontId="15" fillId="0" borderId="49" xfId="0" applyNumberFormat="1" applyFont="1" applyFill="1" applyBorder="1" applyAlignment="1">
      <alignment horizontal="center" vertical="center"/>
    </xf>
    <xf numFmtId="0" fontId="16" fillId="0" borderId="50" xfId="0" applyFont="1" applyFill="1" applyBorder="1"/>
    <xf numFmtId="0" fontId="15" fillId="0" borderId="49" xfId="0" applyFont="1" applyBorder="1" applyAlignment="1">
      <alignment horizontal="center" vertical="center" wrapText="1"/>
    </xf>
    <xf numFmtId="0" fontId="16" fillId="0" borderId="50" xfId="0" applyFont="1" applyBorder="1"/>
    <xf numFmtId="0" fontId="16" fillId="0" borderId="52" xfId="0" applyFont="1" applyBorder="1"/>
    <xf numFmtId="0" fontId="0" fillId="0" borderId="139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7" fillId="0" borderId="139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8" fillId="0" borderId="139" xfId="0" applyFont="1" applyBorder="1" applyAlignment="1">
      <alignment horizontal="center" wrapText="1"/>
    </xf>
    <xf numFmtId="0" fontId="28" fillId="0" borderId="3" xfId="0" applyFont="1" applyBorder="1" applyAlignment="1">
      <alignment horizontal="center" wrapText="1"/>
    </xf>
    <xf numFmtId="0" fontId="28" fillId="0" borderId="25" xfId="0" applyFont="1" applyBorder="1" applyAlignment="1">
      <alignment horizontal="center" wrapText="1"/>
    </xf>
    <xf numFmtId="0" fontId="28" fillId="0" borderId="8" xfId="0" applyFont="1" applyBorder="1" applyAlignment="1">
      <alignment horizontal="center" wrapText="1"/>
    </xf>
    <xf numFmtId="0" fontId="2" fillId="0" borderId="53" xfId="0" applyFont="1" applyFill="1" applyBorder="1" applyAlignment="1">
      <alignment horizontal="center" vertical="center"/>
    </xf>
    <xf numFmtId="0" fontId="14" fillId="0" borderId="54" xfId="0" applyFont="1" applyFill="1" applyBorder="1" applyAlignment="1">
      <alignment vertical="center"/>
    </xf>
    <xf numFmtId="0" fontId="15" fillId="0" borderId="55" xfId="0" applyFont="1" applyFill="1" applyBorder="1" applyAlignment="1">
      <alignment horizontal="center" vertical="center"/>
    </xf>
    <xf numFmtId="0" fontId="16" fillId="0" borderId="43" xfId="0" applyFont="1" applyFill="1" applyBorder="1" applyAlignment="1">
      <alignment vertical="center"/>
    </xf>
    <xf numFmtId="0" fontId="16" fillId="0" borderId="44" xfId="0" applyFont="1" applyFill="1" applyBorder="1" applyAlignment="1">
      <alignment vertical="center"/>
    </xf>
    <xf numFmtId="0" fontId="17" fillId="0" borderId="55" xfId="0" applyFont="1" applyFill="1" applyBorder="1" applyAlignment="1">
      <alignment horizontal="center" vertical="center"/>
    </xf>
    <xf numFmtId="0" fontId="16" fillId="0" borderId="54" xfId="0" applyFont="1" applyFill="1" applyBorder="1" applyAlignment="1">
      <alignment vertical="center"/>
    </xf>
    <xf numFmtId="0" fontId="18" fillId="6" borderId="42" xfId="0" applyFont="1" applyFill="1" applyBorder="1" applyAlignment="1">
      <alignment horizontal="center" vertical="center" wrapText="1"/>
    </xf>
    <xf numFmtId="0" fontId="14" fillId="0" borderId="45" xfId="0" applyFont="1" applyBorder="1"/>
    <xf numFmtId="0" fontId="2" fillId="0" borderId="56" xfId="0" applyFont="1" applyFill="1" applyBorder="1" applyAlignment="1">
      <alignment horizontal="center"/>
    </xf>
    <xf numFmtId="0" fontId="14" fillId="0" borderId="57" xfId="0" applyFont="1" applyFill="1" applyBorder="1"/>
    <xf numFmtId="0" fontId="2" fillId="0" borderId="59" xfId="0" applyFont="1" applyFill="1" applyBorder="1" applyAlignment="1">
      <alignment horizontal="center" vertical="center"/>
    </xf>
    <xf numFmtId="0" fontId="14" fillId="0" borderId="59" xfId="0" applyFont="1" applyFill="1" applyBorder="1"/>
    <xf numFmtId="0" fontId="2" fillId="0" borderId="60" xfId="0" applyFont="1" applyFill="1" applyBorder="1" applyAlignment="1">
      <alignment horizontal="center" vertical="center" wrapText="1"/>
    </xf>
    <xf numFmtId="0" fontId="14" fillId="0" borderId="61" xfId="0" applyFont="1" applyFill="1" applyBorder="1"/>
    <xf numFmtId="0" fontId="14" fillId="0" borderId="62" xfId="0" applyFont="1" applyFill="1" applyBorder="1"/>
    <xf numFmtId="0" fontId="2" fillId="0" borderId="59" xfId="0" applyFont="1" applyFill="1" applyBorder="1" applyAlignment="1">
      <alignment horizontal="center" vertical="center" wrapText="1"/>
    </xf>
    <xf numFmtId="0" fontId="14" fillId="0" borderId="63" xfId="0" applyFont="1" applyFill="1" applyBorder="1"/>
    <xf numFmtId="0" fontId="2" fillId="0" borderId="65" xfId="0" applyFont="1" applyFill="1" applyBorder="1" applyAlignment="1">
      <alignment horizontal="center"/>
    </xf>
    <xf numFmtId="0" fontId="14" fillId="0" borderId="66" xfId="0" applyFont="1" applyFill="1" applyBorder="1"/>
    <xf numFmtId="0" fontId="15" fillId="0" borderId="68" xfId="0" applyFont="1" applyFill="1" applyBorder="1" applyAlignment="1">
      <alignment horizontal="center"/>
    </xf>
    <xf numFmtId="0" fontId="16" fillId="0" borderId="68" xfId="0" applyFont="1" applyFill="1" applyBorder="1"/>
    <xf numFmtId="0" fontId="19" fillId="0" borderId="69" xfId="0" applyFont="1" applyFill="1" applyBorder="1" applyAlignment="1">
      <alignment horizontal="center"/>
    </xf>
    <xf numFmtId="0" fontId="16" fillId="0" borderId="70" xfId="0" applyFont="1" applyFill="1" applyBorder="1"/>
    <xf numFmtId="0" fontId="16" fillId="0" borderId="71" xfId="0" applyFont="1" applyFill="1" applyBorder="1"/>
    <xf numFmtId="0" fontId="19" fillId="0" borderId="72" xfId="0" applyFont="1" applyFill="1" applyBorder="1" applyAlignment="1">
      <alignment horizontal="center"/>
    </xf>
    <xf numFmtId="0" fontId="16" fillId="0" borderId="73" xfId="0" applyFont="1" applyFill="1" applyBorder="1"/>
    <xf numFmtId="0" fontId="18" fillId="6" borderId="75" xfId="0" applyFont="1" applyFill="1" applyBorder="1" applyAlignment="1">
      <alignment horizontal="center" vertical="center" wrapText="1"/>
    </xf>
    <xf numFmtId="0" fontId="14" fillId="0" borderId="82" xfId="0" applyFont="1" applyBorder="1"/>
    <xf numFmtId="0" fontId="14" fillId="0" borderId="90" xfId="0" applyFont="1" applyBorder="1"/>
    <xf numFmtId="0" fontId="20" fillId="0" borderId="76" xfId="0" applyFont="1" applyFill="1" applyBorder="1" applyAlignment="1">
      <alignment horizontal="center" vertical="center" wrapText="1"/>
    </xf>
    <xf numFmtId="0" fontId="14" fillId="0" borderId="83" xfId="0" applyFont="1" applyFill="1" applyBorder="1"/>
    <xf numFmtId="0" fontId="2" fillId="0" borderId="77" xfId="0" applyFont="1" applyFill="1" applyBorder="1" applyAlignment="1">
      <alignment horizontal="center" vertical="center"/>
    </xf>
    <xf numFmtId="0" fontId="14" fillId="0" borderId="78" xfId="0" applyFont="1" applyFill="1" applyBorder="1"/>
    <xf numFmtId="0" fontId="20" fillId="0" borderId="79" xfId="0" applyFont="1" applyFill="1" applyBorder="1" applyAlignment="1">
      <alignment horizontal="center" vertical="center" wrapText="1"/>
    </xf>
    <xf numFmtId="0" fontId="2" fillId="0" borderId="80" xfId="0" applyFont="1" applyFill="1" applyBorder="1" applyAlignment="1">
      <alignment horizontal="center" vertical="center"/>
    </xf>
    <xf numFmtId="0" fontId="15" fillId="0" borderId="81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0" borderId="43" xfId="0" applyFont="1" applyFill="1" applyBorder="1"/>
    <xf numFmtId="0" fontId="16" fillId="0" borderId="44" xfId="0" applyFont="1" applyFill="1" applyBorder="1"/>
    <xf numFmtId="0" fontId="16" fillId="0" borderId="85" xfId="0" applyFont="1" applyFill="1" applyBorder="1"/>
    <xf numFmtId="0" fontId="16" fillId="0" borderId="46" xfId="0" applyFont="1" applyFill="1" applyBorder="1"/>
    <xf numFmtId="0" fontId="16" fillId="0" borderId="47" xfId="0" applyFont="1" applyFill="1" applyBorder="1"/>
    <xf numFmtId="0" fontId="2" fillId="0" borderId="86" xfId="0" applyFont="1" applyFill="1" applyBorder="1" applyAlignment="1">
      <alignment horizontal="center" vertical="center" wrapText="1"/>
    </xf>
    <xf numFmtId="0" fontId="14" fillId="0" borderId="89" xfId="0" applyFont="1" applyFill="1" applyBorder="1"/>
    <xf numFmtId="0" fontId="2" fillId="0" borderId="65" xfId="0" applyFont="1" applyFill="1" applyBorder="1" applyAlignment="1">
      <alignment horizontal="center" vertical="center"/>
    </xf>
    <xf numFmtId="0" fontId="2" fillId="0" borderId="65" xfId="0" applyFont="1" applyFill="1" applyBorder="1" applyAlignment="1">
      <alignment horizontal="center" vertical="top"/>
    </xf>
    <xf numFmtId="0" fontId="15" fillId="0" borderId="65" xfId="0" applyFont="1" applyFill="1" applyBorder="1" applyAlignment="1">
      <alignment horizontal="center" vertical="center" wrapText="1"/>
    </xf>
    <xf numFmtId="0" fontId="16" fillId="0" borderId="92" xfId="0" applyFont="1" applyFill="1" applyBorder="1"/>
    <xf numFmtId="0" fontId="2" fillId="0" borderId="84" xfId="0" applyFont="1" applyFill="1" applyBorder="1" applyAlignment="1">
      <alignment horizontal="center" vertical="center"/>
    </xf>
    <xf numFmtId="0" fontId="2" fillId="0" borderId="86" xfId="0" applyFont="1" applyFill="1" applyBorder="1" applyAlignment="1">
      <alignment horizontal="center" vertical="center"/>
    </xf>
    <xf numFmtId="0" fontId="2" fillId="0" borderId="86" xfId="0" applyFont="1" applyFill="1" applyBorder="1" applyAlignment="1">
      <alignment horizontal="center"/>
    </xf>
    <xf numFmtId="0" fontId="2" fillId="0" borderId="56" xfId="0" applyFont="1" applyFill="1" applyBorder="1" applyAlignment="1">
      <alignment horizontal="center" vertical="top"/>
    </xf>
    <xf numFmtId="0" fontId="14" fillId="7" borderId="46" xfId="0" applyFont="1" applyFill="1" applyBorder="1" applyAlignment="1">
      <alignment horizontal="center" vertical="center" wrapText="1"/>
    </xf>
    <xf numFmtId="0" fontId="14" fillId="0" borderId="46" xfId="0" applyFont="1" applyBorder="1" applyAlignment="1">
      <alignment horizontal="center"/>
    </xf>
    <xf numFmtId="0" fontId="14" fillId="7" borderId="46" xfId="0" applyFont="1" applyFill="1" applyBorder="1" applyAlignment="1">
      <alignment horizontal="center"/>
    </xf>
    <xf numFmtId="0" fontId="14" fillId="0" borderId="46" xfId="0" applyFont="1" applyBorder="1"/>
    <xf numFmtId="0" fontId="14" fillId="0" borderId="47" xfId="0" applyFont="1" applyBorder="1"/>
    <xf numFmtId="0" fontId="18" fillId="6" borderId="79" xfId="0" applyFont="1" applyFill="1" applyBorder="1" applyAlignment="1">
      <alignment horizontal="center" vertical="center" wrapText="1"/>
    </xf>
    <xf numFmtId="0" fontId="14" fillId="0" borderId="76" xfId="0" applyFont="1" applyBorder="1"/>
    <xf numFmtId="0" fontId="18" fillId="6" borderId="95" xfId="0" applyFont="1" applyFill="1" applyBorder="1" applyAlignment="1">
      <alignment horizontal="center" vertical="center" wrapText="1"/>
    </xf>
    <xf numFmtId="0" fontId="14" fillId="0" borderId="98" xfId="0" applyFont="1" applyBorder="1"/>
    <xf numFmtId="0" fontId="18" fillId="6" borderId="95" xfId="0" applyFont="1" applyFill="1" applyBorder="1" applyAlignment="1">
      <alignment horizontal="center" vertical="center"/>
    </xf>
    <xf numFmtId="0" fontId="18" fillId="6" borderId="55" xfId="0" applyFont="1" applyFill="1" applyBorder="1" applyAlignment="1">
      <alignment horizontal="center" vertical="center"/>
    </xf>
    <xf numFmtId="0" fontId="14" fillId="0" borderId="81" xfId="0" applyFont="1" applyBorder="1"/>
    <xf numFmtId="0" fontId="14" fillId="0" borderId="0" xfId="0" applyFont="1" applyBorder="1"/>
    <xf numFmtId="0" fontId="18" fillId="6" borderId="96" xfId="0" applyFont="1" applyFill="1" applyBorder="1" applyAlignment="1">
      <alignment horizontal="center" vertical="center" wrapText="1"/>
    </xf>
    <xf numFmtId="0" fontId="14" fillId="0" borderId="99" xfId="0" applyFont="1" applyBorder="1"/>
    <xf numFmtId="0" fontId="18" fillId="6" borderId="42" xfId="0" applyFont="1" applyFill="1" applyBorder="1" applyAlignment="1">
      <alignment horizontal="center" vertical="center" textRotation="90" wrapText="1"/>
    </xf>
    <xf numFmtId="0" fontId="14" fillId="0" borderId="93" xfId="0" applyFont="1" applyBorder="1"/>
    <xf numFmtId="0" fontId="14" fillId="0" borderId="42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14" fillId="0" borderId="43" xfId="0" applyFont="1" applyFill="1" applyBorder="1" applyAlignment="1">
      <alignment horizontal="center" vertical="center"/>
    </xf>
    <xf numFmtId="0" fontId="14" fillId="0" borderId="44" xfId="0" applyFont="1" applyFill="1" applyBorder="1" applyAlignment="1">
      <alignment horizontal="center"/>
    </xf>
    <xf numFmtId="0" fontId="14" fillId="7" borderId="93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4" xfId="0" applyFont="1" applyBorder="1"/>
    <xf numFmtId="0" fontId="14" fillId="7" borderId="45" xfId="0" applyFont="1" applyFill="1" applyBorder="1" applyAlignment="1">
      <alignment horizontal="center" vertical="center" wrapText="1"/>
    </xf>
    <xf numFmtId="164" fontId="14" fillId="0" borderId="95" xfId="0" applyNumberFormat="1" applyFont="1" applyFill="1" applyBorder="1" applyAlignment="1">
      <alignment horizontal="center" vertical="center"/>
    </xf>
    <xf numFmtId="164" fontId="14" fillId="0" borderId="98" xfId="0" applyNumberFormat="1" applyFont="1" applyFill="1" applyBorder="1" applyAlignment="1">
      <alignment horizontal="center" vertical="center"/>
    </xf>
    <xf numFmtId="164" fontId="14" fillId="0" borderId="104" xfId="0" applyNumberFormat="1" applyFont="1" applyFill="1" applyBorder="1" applyAlignment="1">
      <alignment horizontal="center" vertical="center"/>
    </xf>
    <xf numFmtId="165" fontId="14" fillId="0" borderId="95" xfId="0" applyNumberFormat="1" applyFont="1" applyFill="1" applyBorder="1" applyAlignment="1">
      <alignment horizontal="center" vertical="center"/>
    </xf>
    <xf numFmtId="165" fontId="14" fillId="0" borderId="98" xfId="0" applyNumberFormat="1" applyFont="1" applyFill="1" applyBorder="1" applyAlignment="1">
      <alignment horizontal="center" vertical="center"/>
    </xf>
    <xf numFmtId="165" fontId="14" fillId="0" borderId="104" xfId="0" applyNumberFormat="1" applyFont="1" applyFill="1" applyBorder="1" applyAlignment="1">
      <alignment horizontal="center" vertical="center"/>
    </xf>
    <xf numFmtId="0" fontId="14" fillId="0" borderId="95" xfId="0" applyFont="1" applyFill="1" applyBorder="1" applyAlignment="1">
      <alignment horizontal="center" vertical="center"/>
    </xf>
    <xf numFmtId="0" fontId="14" fillId="0" borderId="98" xfId="0" applyFont="1" applyFill="1" applyBorder="1" applyAlignment="1">
      <alignment horizontal="center" vertical="center"/>
    </xf>
    <xf numFmtId="0" fontId="14" fillId="0" borderId="104" xfId="0" applyFont="1" applyFill="1" applyBorder="1" applyAlignment="1">
      <alignment horizontal="center" vertical="center"/>
    </xf>
    <xf numFmtId="0" fontId="14" fillId="0" borderId="101" xfId="0" applyFont="1" applyFill="1" applyBorder="1" applyAlignment="1">
      <alignment horizontal="center" vertical="center"/>
    </xf>
    <xf numFmtId="0" fontId="14" fillId="0" borderId="103" xfId="0" applyFont="1" applyFill="1" applyBorder="1" applyAlignment="1">
      <alignment horizontal="center" vertical="center"/>
    </xf>
    <xf numFmtId="0" fontId="14" fillId="0" borderId="106" xfId="0" applyFont="1" applyFill="1" applyBorder="1" applyAlignment="1">
      <alignment horizontal="center" vertical="center"/>
    </xf>
    <xf numFmtId="0" fontId="2" fillId="0" borderId="79" xfId="0" applyFon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2" fontId="14" fillId="0" borderId="95" xfId="0" applyNumberFormat="1" applyFont="1" applyFill="1" applyBorder="1" applyAlignment="1">
      <alignment horizontal="center" vertical="center"/>
    </xf>
    <xf numFmtId="2" fontId="14" fillId="0" borderId="98" xfId="0" applyNumberFormat="1" applyFont="1" applyFill="1" applyBorder="1" applyAlignment="1">
      <alignment horizontal="center" vertical="center"/>
    </xf>
    <xf numFmtId="2" fontId="14" fillId="0" borderId="104" xfId="0" applyNumberFormat="1" applyFont="1" applyFill="1" applyBorder="1" applyAlignment="1">
      <alignment horizontal="center" vertical="center"/>
    </xf>
    <xf numFmtId="0" fontId="4" fillId="8" borderId="107" xfId="0" applyFont="1" applyFill="1" applyBorder="1" applyAlignment="1">
      <alignment horizontal="center" vertical="center" textRotation="90"/>
    </xf>
    <xf numFmtId="0" fontId="4" fillId="8" borderId="108" xfId="0" applyFont="1" applyFill="1" applyBorder="1" applyAlignment="1">
      <alignment horizontal="center" vertical="center" textRotation="90"/>
    </xf>
    <xf numFmtId="0" fontId="4" fillId="8" borderId="109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2" fontId="14" fillId="0" borderId="118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10" xfId="0" applyFont="1" applyFill="1" applyBorder="1" applyAlignment="1">
      <alignment horizontal="center" vertical="center"/>
    </xf>
    <xf numFmtId="0" fontId="14" fillId="3" borderId="114" xfId="0" applyFont="1" applyFill="1" applyBorder="1"/>
    <xf numFmtId="0" fontId="14" fillId="3" borderId="117" xfId="0" applyFont="1" applyFill="1" applyBorder="1"/>
    <xf numFmtId="2" fontId="14" fillId="9" borderId="111" xfId="0" applyNumberFormat="1" applyFont="1" applyFill="1" applyBorder="1" applyAlignment="1">
      <alignment horizontal="center" vertical="center"/>
    </xf>
    <xf numFmtId="0" fontId="14" fillId="3" borderId="98" xfId="0" applyFont="1" applyFill="1" applyBorder="1"/>
    <xf numFmtId="0" fontId="14" fillId="3" borderId="116" xfId="0" applyFont="1" applyFill="1" applyBorder="1"/>
    <xf numFmtId="164" fontId="14" fillId="9" borderId="111" xfId="0" applyNumberFormat="1" applyFont="1" applyFill="1" applyBorder="1" applyAlignment="1">
      <alignment horizontal="center" vertical="center"/>
    </xf>
    <xf numFmtId="0" fontId="14" fillId="3" borderId="118" xfId="0" applyFont="1" applyFill="1" applyBorder="1"/>
    <xf numFmtId="164" fontId="14" fillId="10" borderId="111" xfId="0" applyNumberFormat="1" applyFont="1" applyFill="1" applyBorder="1" applyAlignment="1">
      <alignment horizontal="center" vertical="center"/>
    </xf>
    <xf numFmtId="0" fontId="18" fillId="12" borderId="0" xfId="0" applyFont="1" applyFill="1" applyBorder="1" applyAlignment="1">
      <alignment horizontal="center" vertical="top" wrapText="1"/>
    </xf>
    <xf numFmtId="0" fontId="18" fillId="12" borderId="46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11" xfId="0" applyFont="1" applyFill="1" applyBorder="1" applyAlignment="1">
      <alignment horizontal="center" vertical="center"/>
    </xf>
    <xf numFmtId="166" fontId="14" fillId="10" borderId="111" xfId="0" applyNumberFormat="1" applyFont="1" applyFill="1" applyBorder="1" applyAlignment="1">
      <alignment horizontal="center" vertical="center"/>
    </xf>
    <xf numFmtId="0" fontId="14" fillId="10" borderId="113" xfId="0" applyFont="1" applyFill="1" applyBorder="1" applyAlignment="1">
      <alignment horizontal="center" vertical="center"/>
    </xf>
    <xf numFmtId="0" fontId="14" fillId="3" borderId="115" xfId="0" applyFont="1" applyFill="1" applyBorder="1"/>
    <xf numFmtId="0" fontId="14" fillId="3" borderId="120" xfId="0" applyFont="1" applyFill="1" applyBorder="1"/>
    <xf numFmtId="2" fontId="14" fillId="9" borderId="100" xfId="0" applyNumberFormat="1" applyFont="1" applyFill="1" applyBorder="1" applyAlignment="1">
      <alignment horizontal="center" vertical="center"/>
    </xf>
    <xf numFmtId="164" fontId="14" fillId="9" borderId="100" xfId="0" applyNumberFormat="1" applyFont="1" applyFill="1" applyBorder="1" applyAlignment="1">
      <alignment horizontal="center" vertical="center"/>
    </xf>
    <xf numFmtId="0" fontId="1" fillId="0" borderId="12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0" fontId="14" fillId="13" borderId="16" xfId="0" applyFont="1" applyFill="1" applyBorder="1" applyAlignment="1">
      <alignment horizontal="center"/>
    </xf>
    <xf numFmtId="0" fontId="14" fillId="13" borderId="14" xfId="0" applyFont="1" applyFill="1" applyBorder="1" applyAlignment="1">
      <alignment horizontal="center"/>
    </xf>
    <xf numFmtId="0" fontId="0" fillId="0" borderId="121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2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7" xfId="0" applyFont="1" applyBorder="1" applyAlignment="1">
      <alignment horizontal="left" wrapText="1"/>
    </xf>
    <xf numFmtId="0" fontId="0" fillId="0" borderId="37" xfId="0" applyFont="1" applyBorder="1" applyAlignment="1">
      <alignment horizontal="left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164" fontId="25" fillId="13" borderId="15" xfId="0" applyNumberFormat="1" applyFont="1" applyFill="1" applyBorder="1" applyAlignment="1">
      <alignment horizontal="center"/>
    </xf>
    <xf numFmtId="164" fontId="25" fillId="13" borderId="12" xfId="0" applyNumberFormat="1" applyFont="1" applyFill="1" applyBorder="1" applyAlignment="1">
      <alignment horizontal="center"/>
    </xf>
    <xf numFmtId="0" fontId="25" fillId="13" borderId="16" xfId="0" applyFont="1" applyFill="1" applyBorder="1" applyAlignment="1">
      <alignment horizontal="center"/>
    </xf>
    <xf numFmtId="0" fontId="25" fillId="13" borderId="14" xfId="0" applyFont="1" applyFill="1" applyBorder="1" applyAlignment="1">
      <alignment horizontal="center"/>
    </xf>
    <xf numFmtId="0" fontId="0" fillId="0" borderId="129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130" xfId="0" applyFont="1" applyBorder="1" applyAlignment="1">
      <alignment horizontal="left" vertical="center" wrapText="1"/>
    </xf>
    <xf numFmtId="0" fontId="0" fillId="0" borderId="131" xfId="0" applyFont="1" applyBorder="1" applyAlignment="1">
      <alignment horizontal="left" vertical="center" wrapText="1"/>
    </xf>
    <xf numFmtId="0" fontId="0" fillId="0" borderId="132" xfId="0" applyFont="1" applyBorder="1" applyAlignment="1">
      <alignment horizontal="left" vertical="center" wrapText="1"/>
    </xf>
    <xf numFmtId="0" fontId="0" fillId="0" borderId="133" xfId="0" applyFont="1" applyBorder="1" applyAlignment="1">
      <alignment horizontal="left" vertical="center" wrapText="1"/>
    </xf>
    <xf numFmtId="0" fontId="1" fillId="0" borderId="33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/>
    </xf>
    <xf numFmtId="0" fontId="1" fillId="0" borderId="124" xfId="0" applyFont="1" applyFill="1" applyBorder="1" applyAlignment="1">
      <alignment horizontal="center"/>
    </xf>
    <xf numFmtId="0" fontId="1" fillId="0" borderId="125" xfId="0" applyFont="1" applyFill="1" applyBorder="1" applyAlignment="1">
      <alignment horizontal="center"/>
    </xf>
    <xf numFmtId="0" fontId="5" fillId="0" borderId="135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136" xfId="0" applyFont="1" applyBorder="1" applyAlignment="1">
      <alignment horizontal="center" vertical="top" wrapText="1"/>
    </xf>
    <xf numFmtId="0" fontId="5" fillId="0" borderId="137" xfId="0" applyFont="1" applyBorder="1" applyAlignment="1">
      <alignment horizontal="center" vertical="top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38" xfId="0" applyFont="1" applyBorder="1" applyAlignment="1">
      <alignment horizontal="center"/>
    </xf>
    <xf numFmtId="0" fontId="3" fillId="0" borderId="13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/>
    </xf>
    <xf numFmtId="0" fontId="1" fillId="0" borderId="126" xfId="0" applyFont="1" applyFill="1" applyBorder="1" applyAlignment="1">
      <alignment horizontal="center"/>
    </xf>
    <xf numFmtId="0" fontId="1" fillId="0" borderId="127" xfId="0" applyFont="1" applyFill="1" applyBorder="1" applyAlignment="1">
      <alignment horizontal="center"/>
    </xf>
    <xf numFmtId="0" fontId="1" fillId="0" borderId="128" xfId="0" applyFont="1" applyFill="1" applyBorder="1" applyAlignment="1">
      <alignment horizontal="center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9.png"/><Relationship Id="rId5" Type="http://schemas.openxmlformats.org/officeDocument/2006/relationships/image" Target="../media/image15.jpeg"/><Relationship Id="rId4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7" Type="http://schemas.openxmlformats.org/officeDocument/2006/relationships/image" Target="../media/image10.pn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6" Type="http://schemas.openxmlformats.org/officeDocument/2006/relationships/image" Target="../media/image9.png"/><Relationship Id="rId5" Type="http://schemas.openxmlformats.org/officeDocument/2006/relationships/image" Target="../media/image20.jpeg"/><Relationship Id="rId4" Type="http://schemas.openxmlformats.org/officeDocument/2006/relationships/image" Target="../media/image19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7" Type="http://schemas.openxmlformats.org/officeDocument/2006/relationships/image" Target="../media/image10.png"/><Relationship Id="rId2" Type="http://schemas.openxmlformats.org/officeDocument/2006/relationships/image" Target="../media/image22.jpeg"/><Relationship Id="rId1" Type="http://schemas.openxmlformats.org/officeDocument/2006/relationships/image" Target="../media/image21.jpeg"/><Relationship Id="rId6" Type="http://schemas.openxmlformats.org/officeDocument/2006/relationships/image" Target="../media/image9.png"/><Relationship Id="rId5" Type="http://schemas.openxmlformats.org/officeDocument/2006/relationships/image" Target="../media/image25.jpeg"/><Relationship Id="rId4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21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429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9</xdr:col>
      <xdr:colOff>0</xdr:colOff>
      <xdr:row>39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459941"/>
          <a:ext cx="5334000" cy="2667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7620</xdr:colOff>
      <xdr:row>94</xdr:row>
      <xdr:rowOff>91440</xdr:rowOff>
    </xdr:from>
    <xdr:ext cx="205740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227195" y="18017490"/>
          <a:ext cx="205740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209127</xdr:colOff>
      <xdr:row>110</xdr:row>
      <xdr:rowOff>109220</xdr:rowOff>
    </xdr:from>
    <xdr:to>
      <xdr:col>5</xdr:col>
      <xdr:colOff>469023</xdr:colOff>
      <xdr:row>116</xdr:row>
      <xdr:rowOff>280234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18652" y="21216620"/>
          <a:ext cx="3041196" cy="179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281093</xdr:colOff>
      <xdr:row>110</xdr:row>
      <xdr:rowOff>139700</xdr:rowOff>
    </xdr:from>
    <xdr:to>
      <xdr:col>10</xdr:col>
      <xdr:colOff>430678</xdr:colOff>
      <xdr:row>116</xdr:row>
      <xdr:rowOff>310714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86293" y="21247100"/>
          <a:ext cx="3007085" cy="179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384073</xdr:colOff>
      <xdr:row>119</xdr:row>
      <xdr:rowOff>42902</xdr:rowOff>
    </xdr:from>
    <xdr:to>
      <xdr:col>4</xdr:col>
      <xdr:colOff>376273</xdr:colOff>
      <xdr:row>119</xdr:row>
      <xdr:rowOff>2045041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41178" y="23965022"/>
          <a:ext cx="2002139" cy="1420950"/>
        </a:xfrm>
        <a:prstGeom prst="rect">
          <a:avLst/>
        </a:prstGeom>
      </xdr:spPr>
    </xdr:pic>
    <xdr:clientData/>
  </xdr:twoCellAnchor>
  <xdr:twoCellAnchor editAs="oneCell">
    <xdr:from>
      <xdr:col>12</xdr:col>
      <xdr:colOff>457873</xdr:colOff>
      <xdr:row>119</xdr:row>
      <xdr:rowOff>40502</xdr:rowOff>
    </xdr:from>
    <xdr:to>
      <xdr:col>14</xdr:col>
      <xdr:colOff>450073</xdr:colOff>
      <xdr:row>119</xdr:row>
      <xdr:rowOff>2042641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958728" y="23962622"/>
          <a:ext cx="2002139" cy="1420950"/>
        </a:xfrm>
        <a:prstGeom prst="rect">
          <a:avLst/>
        </a:prstGeom>
      </xdr:spPr>
    </xdr:pic>
    <xdr:clientData/>
  </xdr:twoCellAnchor>
  <xdr:twoCellAnchor editAs="oneCell">
    <xdr:from>
      <xdr:col>7</xdr:col>
      <xdr:colOff>407850</xdr:colOff>
      <xdr:row>119</xdr:row>
      <xdr:rowOff>28576</xdr:rowOff>
    </xdr:from>
    <xdr:to>
      <xdr:col>9</xdr:col>
      <xdr:colOff>400050</xdr:colOff>
      <xdr:row>119</xdr:row>
      <xdr:rowOff>2030715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336830" y="23950696"/>
          <a:ext cx="2002139" cy="142095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247650</xdr:colOff>
      <xdr:row>1</xdr:row>
      <xdr:rowOff>34112</xdr:rowOff>
    </xdr:from>
    <xdr:to>
      <xdr:col>3</xdr:col>
      <xdr:colOff>390525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7175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385116</xdr:colOff>
      <xdr:row>1</xdr:row>
      <xdr:rowOff>57150</xdr:rowOff>
    </xdr:from>
    <xdr:to>
      <xdr:col>15</xdr:col>
      <xdr:colOff>341018</xdr:colOff>
      <xdr:row>2</xdr:row>
      <xdr:rowOff>295275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33916" y="114300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945255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117140</xdr:colOff>
      <xdr:row>94</xdr:row>
      <xdr:rowOff>10584</xdr:rowOff>
    </xdr:from>
    <xdr:ext cx="187659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5" y="18012834"/>
          <a:ext cx="18765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15290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211667</xdr:colOff>
      <xdr:row>110</xdr:row>
      <xdr:rowOff>177800</xdr:rowOff>
    </xdr:from>
    <xdr:to>
      <xdr:col>5</xdr:col>
      <xdr:colOff>471563</xdr:colOff>
      <xdr:row>115</xdr:row>
      <xdr:rowOff>64333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21192" y="21361400"/>
          <a:ext cx="3041196" cy="180105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283633</xdr:colOff>
      <xdr:row>110</xdr:row>
      <xdr:rowOff>177800</xdr:rowOff>
    </xdr:from>
    <xdr:to>
      <xdr:col>10</xdr:col>
      <xdr:colOff>433218</xdr:colOff>
      <xdr:row>115</xdr:row>
      <xdr:rowOff>64333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88833" y="21361400"/>
          <a:ext cx="3007085" cy="180105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509228</xdr:colOff>
      <xdr:row>119</xdr:row>
      <xdr:rowOff>139114</xdr:rowOff>
    </xdr:from>
    <xdr:to>
      <xdr:col>5</xdr:col>
      <xdr:colOff>68057</xdr:colOff>
      <xdr:row>119</xdr:row>
      <xdr:rowOff>1939114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753" y="24113539"/>
          <a:ext cx="2340129" cy="1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16972</xdr:colOff>
      <xdr:row>119</xdr:row>
      <xdr:rowOff>114943</xdr:rowOff>
    </xdr:from>
    <xdr:to>
      <xdr:col>10</xdr:col>
      <xdr:colOff>228944</xdr:colOff>
      <xdr:row>119</xdr:row>
      <xdr:rowOff>1914943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547" y="24089368"/>
          <a:ext cx="2355097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576943</xdr:colOff>
      <xdr:row>119</xdr:row>
      <xdr:rowOff>87086</xdr:rowOff>
    </xdr:from>
    <xdr:to>
      <xdr:col>15</xdr:col>
      <xdr:colOff>59571</xdr:colOff>
      <xdr:row>119</xdr:row>
      <xdr:rowOff>1887086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4018" y="24061511"/>
          <a:ext cx="2340128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0614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70614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979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979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5502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75502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6213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76213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907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907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6176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76176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0299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70299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0147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70147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1086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71086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247650</xdr:colOff>
      <xdr:row>1</xdr:row>
      <xdr:rowOff>34112</xdr:rowOff>
    </xdr:from>
    <xdr:to>
      <xdr:col>3</xdr:col>
      <xdr:colOff>390525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7175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385116</xdr:colOff>
      <xdr:row>1</xdr:row>
      <xdr:rowOff>57150</xdr:rowOff>
    </xdr:from>
    <xdr:to>
      <xdr:col>15</xdr:col>
      <xdr:colOff>341018</xdr:colOff>
      <xdr:row>2</xdr:row>
      <xdr:rowOff>295275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33916" y="114300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521000</xdr:colOff>
      <xdr:row>89</xdr:row>
      <xdr:rowOff>94404</xdr:rowOff>
    </xdr:from>
    <xdr:ext cx="294339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026200" y="17163204"/>
          <a:ext cx="29433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300567</xdr:colOff>
      <xdr:row>105</xdr:row>
      <xdr:rowOff>114300</xdr:rowOff>
    </xdr:from>
    <xdr:to>
      <xdr:col>5</xdr:col>
      <xdr:colOff>560463</xdr:colOff>
      <xdr:row>111</xdr:row>
      <xdr:rowOff>280234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310092" y="20364450"/>
          <a:ext cx="3041196" cy="178518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372533</xdr:colOff>
      <xdr:row>105</xdr:row>
      <xdr:rowOff>114300</xdr:rowOff>
    </xdr:from>
    <xdr:to>
      <xdr:col>10</xdr:col>
      <xdr:colOff>522118</xdr:colOff>
      <xdr:row>111</xdr:row>
      <xdr:rowOff>280234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77733" y="20364450"/>
          <a:ext cx="3007085" cy="178518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4</xdr:col>
      <xdr:colOff>328312</xdr:colOff>
      <xdr:row>114</xdr:row>
      <xdr:rowOff>1800000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2774275"/>
          <a:ext cx="2395237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304781</xdr:colOff>
      <xdr:row>114</xdr:row>
      <xdr:rowOff>150000</xdr:rowOff>
    </xdr:from>
    <xdr:to>
      <xdr:col>9</xdr:col>
      <xdr:colOff>561656</xdr:colOff>
      <xdr:row>114</xdr:row>
      <xdr:rowOff>1950000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81" y="22924275"/>
          <a:ext cx="2400000" cy="18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538125</xdr:colOff>
      <xdr:row>114</xdr:row>
      <xdr:rowOff>157125</xdr:rowOff>
    </xdr:from>
    <xdr:to>
      <xdr:col>15</xdr:col>
      <xdr:colOff>80625</xdr:colOff>
      <xdr:row>114</xdr:row>
      <xdr:rowOff>1957125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5200" y="22931400"/>
          <a:ext cx="2400000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83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1280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86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66644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86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66167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86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66879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86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66572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86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66842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0964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0812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61751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247650</xdr:colOff>
      <xdr:row>1</xdr:row>
      <xdr:rowOff>34112</xdr:rowOff>
    </xdr:from>
    <xdr:to>
      <xdr:col>3</xdr:col>
      <xdr:colOff>390525</xdr:colOff>
      <xdr:row>2</xdr:row>
      <xdr:rowOff>309220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7175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385116</xdr:colOff>
      <xdr:row>1</xdr:row>
      <xdr:rowOff>57150</xdr:rowOff>
    </xdr:from>
    <xdr:to>
      <xdr:col>15</xdr:col>
      <xdr:colOff>341018</xdr:colOff>
      <xdr:row>2</xdr:row>
      <xdr:rowOff>295275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33916" y="114300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47290</xdr:colOff>
      <xdr:row>94</xdr:row>
      <xdr:rowOff>23284</xdr:rowOff>
    </xdr:from>
    <xdr:ext cx="244809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266865" y="17949334"/>
          <a:ext cx="244809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31532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112</xdr:row>
      <xdr:rowOff>63500</xdr:rowOff>
    </xdr:from>
    <xdr:to>
      <xdr:col>5</xdr:col>
      <xdr:colOff>408063</xdr:colOff>
      <xdr:row>116</xdr:row>
      <xdr:rowOff>305633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21551900"/>
          <a:ext cx="3041196" cy="179470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537633</xdr:colOff>
      <xdr:row>111</xdr:row>
      <xdr:rowOff>177800</xdr:rowOff>
    </xdr:from>
    <xdr:to>
      <xdr:col>10</xdr:col>
      <xdr:colOff>528468</xdr:colOff>
      <xdr:row>116</xdr:row>
      <xdr:rowOff>229433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4042833" y="21475700"/>
          <a:ext cx="3010260" cy="179470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oneCellAnchor>
    <xdr:from>
      <xdr:col>4</xdr:col>
      <xdr:colOff>707523</xdr:colOff>
      <xdr:row>88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6985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91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9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7521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91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0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866735" y="17474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91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712025" y="17545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91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2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7514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91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389666" y="17541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88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4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6953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88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6938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88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7078137" y="17032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127000</xdr:colOff>
      <xdr:row>119</xdr:row>
      <xdr:rowOff>80352</xdr:rowOff>
    </xdr:from>
    <xdr:to>
      <xdr:col>5</xdr:col>
      <xdr:colOff>622300</xdr:colOff>
      <xdr:row>119</xdr:row>
      <xdr:rowOff>1977570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25" y="24045252"/>
          <a:ext cx="3276600" cy="1897218"/>
        </a:xfrm>
        <a:prstGeom prst="rect">
          <a:avLst/>
        </a:prstGeom>
      </xdr:spPr>
    </xdr:pic>
    <xdr:clientData/>
  </xdr:twoCellAnchor>
  <xdr:twoCellAnchor editAs="oneCell">
    <xdr:from>
      <xdr:col>7</xdr:col>
      <xdr:colOff>482600</xdr:colOff>
      <xdr:row>119</xdr:row>
      <xdr:rowOff>63500</xdr:rowOff>
    </xdr:from>
    <xdr:to>
      <xdr:col>9</xdr:col>
      <xdr:colOff>520699</xdr:colOff>
      <xdr:row>119</xdr:row>
      <xdr:rowOff>1960718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2175" y="24028400"/>
          <a:ext cx="1466849" cy="1897218"/>
        </a:xfrm>
        <a:prstGeom prst="rect">
          <a:avLst/>
        </a:prstGeom>
      </xdr:spPr>
    </xdr:pic>
    <xdr:clientData/>
  </xdr:twoCellAnchor>
  <xdr:twoCellAnchor editAs="oneCell">
    <xdr:from>
      <xdr:col>11</xdr:col>
      <xdr:colOff>165102</xdr:colOff>
      <xdr:row>119</xdr:row>
      <xdr:rowOff>75206</xdr:rowOff>
    </xdr:from>
    <xdr:to>
      <xdr:col>15</xdr:col>
      <xdr:colOff>558798</xdr:colOff>
      <xdr:row>119</xdr:row>
      <xdr:rowOff>1993900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4102" y="24040106"/>
          <a:ext cx="3317871" cy="1918694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1</xdr:row>
      <xdr:rowOff>34112</xdr:rowOff>
    </xdr:from>
    <xdr:to>
      <xdr:col>3</xdr:col>
      <xdr:colOff>390525</xdr:colOff>
      <xdr:row>2</xdr:row>
      <xdr:rowOff>280645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7175" y="91262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385116</xdr:colOff>
      <xdr:row>1</xdr:row>
      <xdr:rowOff>57150</xdr:rowOff>
    </xdr:from>
    <xdr:to>
      <xdr:col>15</xdr:col>
      <xdr:colOff>341018</xdr:colOff>
      <xdr:row>2</xdr:row>
      <xdr:rowOff>266700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833916" y="114300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0"/>
  <sheetViews>
    <sheetView topLeftCell="A19" zoomScale="85" zoomScaleNormal="85" workbookViewId="0">
      <selection activeCell="D43" sqref="D43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05" t="s">
        <v>39</v>
      </c>
      <c r="C2" s="105"/>
      <c r="D2" s="105"/>
      <c r="E2" s="105"/>
      <c r="F2" s="105"/>
      <c r="G2" s="105"/>
      <c r="H2" s="105"/>
      <c r="I2" s="105"/>
      <c r="J2" s="105"/>
    </row>
    <row r="3" spans="2:10" ht="6.75" customHeight="1" x14ac:dyDescent="0.25">
      <c r="B3" s="107"/>
      <c r="C3" s="108"/>
      <c r="D3" s="108"/>
      <c r="E3" s="108"/>
      <c r="F3" s="108"/>
      <c r="G3" s="108"/>
      <c r="H3" s="108"/>
      <c r="I3" s="108"/>
      <c r="J3" s="109"/>
    </row>
    <row r="4" spans="2:10" x14ac:dyDescent="0.25">
      <c r="B4" s="110"/>
      <c r="C4" s="106"/>
      <c r="D4" s="106"/>
      <c r="E4" s="106"/>
      <c r="F4" s="106"/>
      <c r="G4" s="106"/>
      <c r="H4" s="106"/>
      <c r="I4" s="106"/>
      <c r="J4" s="112"/>
    </row>
    <row r="5" spans="2:10" x14ac:dyDescent="0.25">
      <c r="B5" s="110"/>
      <c r="C5" s="106"/>
      <c r="D5" s="106"/>
      <c r="E5" s="106"/>
      <c r="F5" s="106"/>
      <c r="G5" s="106"/>
      <c r="H5" s="106"/>
      <c r="I5" s="106"/>
      <c r="J5" s="112"/>
    </row>
    <row r="6" spans="2:10" x14ac:dyDescent="0.25">
      <c r="B6" s="110"/>
      <c r="C6" s="106"/>
      <c r="D6" s="106"/>
      <c r="E6" s="106"/>
      <c r="F6" s="106"/>
      <c r="G6" s="106"/>
      <c r="H6" s="106"/>
      <c r="I6" s="106"/>
      <c r="J6" s="112"/>
    </row>
    <row r="7" spans="2:10" x14ac:dyDescent="0.25">
      <c r="B7" s="110"/>
      <c r="C7" s="106"/>
      <c r="D7" s="106"/>
      <c r="E7" s="106"/>
      <c r="F7" s="106"/>
      <c r="G7" s="106"/>
      <c r="H7" s="106"/>
      <c r="I7" s="106"/>
      <c r="J7" s="112"/>
    </row>
    <row r="8" spans="2:10" x14ac:dyDescent="0.25">
      <c r="B8" s="110"/>
      <c r="C8" s="106"/>
      <c r="D8" s="106"/>
      <c r="E8" s="106"/>
      <c r="F8" s="106"/>
      <c r="G8" s="106"/>
      <c r="H8" s="106"/>
      <c r="I8" s="106"/>
      <c r="J8" s="112"/>
    </row>
    <row r="9" spans="2:10" x14ac:dyDescent="0.25">
      <c r="B9" s="110"/>
      <c r="C9" s="106"/>
      <c r="D9" s="106"/>
      <c r="E9" s="106"/>
      <c r="F9" s="106"/>
      <c r="G9" s="106"/>
      <c r="H9" s="106"/>
      <c r="I9" s="106"/>
      <c r="J9" s="112"/>
    </row>
    <row r="10" spans="2:10" x14ac:dyDescent="0.25">
      <c r="B10" s="110"/>
      <c r="C10" s="106"/>
      <c r="D10" s="106"/>
      <c r="E10" s="106"/>
      <c r="F10" s="106"/>
      <c r="G10" s="106"/>
      <c r="H10" s="106"/>
      <c r="I10" s="106"/>
      <c r="J10" s="112"/>
    </row>
    <row r="11" spans="2:10" x14ac:dyDescent="0.25">
      <c r="B11" s="110"/>
      <c r="C11" s="106"/>
      <c r="D11" s="106"/>
      <c r="E11" s="106"/>
      <c r="F11" s="106"/>
      <c r="G11" s="106"/>
      <c r="H11" s="106"/>
      <c r="I11" s="106"/>
      <c r="J11" s="112"/>
    </row>
    <row r="12" spans="2:10" x14ac:dyDescent="0.25">
      <c r="B12" s="110"/>
      <c r="C12" s="106"/>
      <c r="D12" s="106"/>
      <c r="E12" s="106"/>
      <c r="F12" s="106"/>
      <c r="G12" s="106"/>
      <c r="H12" s="106"/>
      <c r="I12" s="106"/>
      <c r="J12" s="112"/>
    </row>
    <row r="13" spans="2:10" x14ac:dyDescent="0.25">
      <c r="B13" s="110"/>
      <c r="C13" s="106"/>
      <c r="D13" s="106"/>
      <c r="E13" s="106"/>
      <c r="F13" s="106"/>
      <c r="G13" s="106"/>
      <c r="H13" s="106"/>
      <c r="I13" s="106"/>
      <c r="J13" s="112"/>
    </row>
    <row r="14" spans="2:10" x14ac:dyDescent="0.25">
      <c r="B14" s="110"/>
      <c r="C14" s="106"/>
      <c r="D14" s="106"/>
      <c r="E14" s="106"/>
      <c r="F14" s="106"/>
      <c r="G14" s="106"/>
      <c r="H14" s="106"/>
      <c r="I14" s="106"/>
      <c r="J14" s="112"/>
    </row>
    <row r="15" spans="2:10" x14ac:dyDescent="0.25">
      <c r="B15" s="110"/>
      <c r="C15" s="106"/>
      <c r="D15" s="106"/>
      <c r="E15" s="106"/>
      <c r="F15" s="106"/>
      <c r="G15" s="106"/>
      <c r="H15" s="106"/>
      <c r="I15" s="106"/>
      <c r="J15" s="112"/>
    </row>
    <row r="16" spans="2:10" x14ac:dyDescent="0.25">
      <c r="B16" s="110"/>
      <c r="C16" s="106"/>
      <c r="D16" s="106"/>
      <c r="E16" s="106"/>
      <c r="F16" s="106"/>
      <c r="G16" s="106"/>
      <c r="H16" s="106"/>
      <c r="I16" s="106"/>
      <c r="J16" s="112"/>
    </row>
    <row r="17" spans="2:10" x14ac:dyDescent="0.25">
      <c r="B17" s="110"/>
      <c r="C17" s="106"/>
      <c r="D17" s="106"/>
      <c r="E17" s="106"/>
      <c r="F17" s="106"/>
      <c r="G17" s="106"/>
      <c r="H17" s="106"/>
      <c r="I17" s="106"/>
      <c r="J17" s="112"/>
    </row>
    <row r="18" spans="2:10" x14ac:dyDescent="0.25">
      <c r="B18" s="110"/>
      <c r="C18" s="106"/>
      <c r="D18" s="106"/>
      <c r="E18" s="106"/>
      <c r="F18" s="106"/>
      <c r="G18" s="106"/>
      <c r="H18" s="106"/>
      <c r="I18" s="106"/>
      <c r="J18" s="112"/>
    </row>
    <row r="19" spans="2:10" x14ac:dyDescent="0.25">
      <c r="B19" s="110"/>
      <c r="C19" s="106"/>
      <c r="D19" s="106"/>
      <c r="E19" s="106"/>
      <c r="F19" s="106"/>
      <c r="G19" s="106"/>
      <c r="H19" s="106"/>
      <c r="I19" s="106"/>
      <c r="J19" s="112"/>
    </row>
    <row r="20" spans="2:10" x14ac:dyDescent="0.25">
      <c r="B20" s="110"/>
      <c r="C20" s="106"/>
      <c r="D20" s="106"/>
      <c r="E20" s="106"/>
      <c r="F20" s="106"/>
      <c r="G20" s="106"/>
      <c r="H20" s="106"/>
      <c r="I20" s="106"/>
      <c r="J20" s="112"/>
    </row>
    <row r="21" spans="2:10" x14ac:dyDescent="0.25">
      <c r="B21" s="110"/>
      <c r="C21" s="106"/>
      <c r="D21" s="106"/>
      <c r="E21" s="106"/>
      <c r="F21" s="106"/>
      <c r="G21" s="106"/>
      <c r="H21" s="106"/>
      <c r="I21" s="106"/>
      <c r="J21" s="112"/>
    </row>
    <row r="22" spans="2:10" ht="6.75" customHeight="1" x14ac:dyDescent="0.25">
      <c r="B22" s="111"/>
      <c r="C22" s="114"/>
      <c r="D22" s="114"/>
      <c r="E22" s="114"/>
      <c r="F22" s="114"/>
      <c r="G22" s="114"/>
      <c r="H22" s="114"/>
      <c r="I22" s="114"/>
      <c r="J22" s="113"/>
    </row>
    <row r="23" spans="2:10" x14ac:dyDescent="0.25">
      <c r="B23" s="1"/>
      <c r="C23" s="1"/>
      <c r="D23" s="1"/>
      <c r="E23" s="1"/>
      <c r="F23" s="1"/>
      <c r="G23" s="1"/>
      <c r="H23" s="1"/>
      <c r="I23" s="1"/>
    </row>
    <row r="24" spans="2:10" x14ac:dyDescent="0.25">
      <c r="B24" s="105" t="s">
        <v>40</v>
      </c>
      <c r="C24" s="105"/>
      <c r="D24" s="105"/>
      <c r="E24" s="105"/>
      <c r="F24" s="105"/>
      <c r="G24" s="105"/>
      <c r="H24" s="105"/>
      <c r="I24" s="105"/>
      <c r="J24" s="105"/>
    </row>
    <row r="25" spans="2:10" ht="6.75" customHeight="1" x14ac:dyDescent="0.25">
      <c r="B25" s="107"/>
      <c r="C25" s="108"/>
      <c r="D25" s="108"/>
      <c r="E25" s="108"/>
      <c r="F25" s="108"/>
      <c r="G25" s="108"/>
      <c r="H25" s="108"/>
      <c r="I25" s="108"/>
      <c r="J25" s="109"/>
    </row>
    <row r="26" spans="2:10" x14ac:dyDescent="0.25">
      <c r="B26" s="110"/>
      <c r="C26" s="106"/>
      <c r="D26" s="106"/>
      <c r="E26" s="106"/>
      <c r="F26" s="106"/>
      <c r="G26" s="106"/>
      <c r="H26" s="106"/>
      <c r="I26" s="106"/>
      <c r="J26" s="112"/>
    </row>
    <row r="27" spans="2:10" x14ac:dyDescent="0.25">
      <c r="B27" s="110"/>
      <c r="C27" s="106"/>
      <c r="D27" s="106"/>
      <c r="E27" s="106"/>
      <c r="F27" s="106"/>
      <c r="G27" s="106"/>
      <c r="H27" s="106"/>
      <c r="I27" s="106"/>
      <c r="J27" s="112"/>
    </row>
    <row r="28" spans="2:10" x14ac:dyDescent="0.25">
      <c r="B28" s="110"/>
      <c r="C28" s="106"/>
      <c r="D28" s="106"/>
      <c r="E28" s="106"/>
      <c r="F28" s="106"/>
      <c r="G28" s="106"/>
      <c r="H28" s="106"/>
      <c r="I28" s="106"/>
      <c r="J28" s="112"/>
    </row>
    <row r="29" spans="2:10" x14ac:dyDescent="0.25">
      <c r="B29" s="110"/>
      <c r="C29" s="106"/>
      <c r="D29" s="106"/>
      <c r="E29" s="106"/>
      <c r="F29" s="106"/>
      <c r="G29" s="106"/>
      <c r="H29" s="106"/>
      <c r="I29" s="106"/>
      <c r="J29" s="112"/>
    </row>
    <row r="30" spans="2:10" x14ac:dyDescent="0.25">
      <c r="B30" s="110"/>
      <c r="C30" s="106"/>
      <c r="D30" s="106"/>
      <c r="E30" s="106"/>
      <c r="F30" s="106"/>
      <c r="G30" s="106"/>
      <c r="H30" s="106"/>
      <c r="I30" s="106"/>
      <c r="J30" s="112"/>
    </row>
    <row r="31" spans="2:10" x14ac:dyDescent="0.25">
      <c r="B31" s="110"/>
      <c r="C31" s="106"/>
      <c r="D31" s="106"/>
      <c r="E31" s="106"/>
      <c r="F31" s="106"/>
      <c r="G31" s="106"/>
      <c r="H31" s="106"/>
      <c r="I31" s="106"/>
      <c r="J31" s="112"/>
    </row>
    <row r="32" spans="2:10" x14ac:dyDescent="0.25">
      <c r="B32" s="110"/>
      <c r="C32" s="106"/>
      <c r="D32" s="106"/>
      <c r="E32" s="106"/>
      <c r="F32" s="106"/>
      <c r="G32" s="106"/>
      <c r="H32" s="106"/>
      <c r="I32" s="106"/>
      <c r="J32" s="112"/>
    </row>
    <row r="33" spans="2:10" x14ac:dyDescent="0.25">
      <c r="B33" s="110"/>
      <c r="C33" s="106"/>
      <c r="D33" s="106"/>
      <c r="E33" s="106"/>
      <c r="F33" s="106"/>
      <c r="G33" s="106"/>
      <c r="H33" s="106"/>
      <c r="I33" s="106"/>
      <c r="J33" s="112"/>
    </row>
    <row r="34" spans="2:10" x14ac:dyDescent="0.25">
      <c r="B34" s="110"/>
      <c r="C34" s="106"/>
      <c r="D34" s="106"/>
      <c r="E34" s="106"/>
      <c r="F34" s="106"/>
      <c r="G34" s="106"/>
      <c r="H34" s="106"/>
      <c r="I34" s="106"/>
      <c r="J34" s="112"/>
    </row>
    <row r="35" spans="2:10" x14ac:dyDescent="0.25">
      <c r="B35" s="110"/>
      <c r="C35" s="106"/>
      <c r="D35" s="106"/>
      <c r="E35" s="106"/>
      <c r="F35" s="106"/>
      <c r="G35" s="106"/>
      <c r="H35" s="106"/>
      <c r="I35" s="106"/>
      <c r="J35" s="112"/>
    </row>
    <row r="36" spans="2:10" x14ac:dyDescent="0.25">
      <c r="B36" s="110"/>
      <c r="C36" s="106"/>
      <c r="D36" s="106"/>
      <c r="E36" s="106"/>
      <c r="F36" s="106"/>
      <c r="G36" s="106"/>
      <c r="H36" s="106"/>
      <c r="I36" s="106"/>
      <c r="J36" s="112"/>
    </row>
    <row r="37" spans="2:10" x14ac:dyDescent="0.25">
      <c r="B37" s="110"/>
      <c r="C37" s="106"/>
      <c r="D37" s="106"/>
      <c r="E37" s="106"/>
      <c r="F37" s="106"/>
      <c r="G37" s="106"/>
      <c r="H37" s="106"/>
      <c r="I37" s="106"/>
      <c r="J37" s="112"/>
    </row>
    <row r="38" spans="2:10" x14ac:dyDescent="0.25">
      <c r="B38" s="110"/>
      <c r="C38" s="106"/>
      <c r="D38" s="106"/>
      <c r="E38" s="106"/>
      <c r="F38" s="106"/>
      <c r="G38" s="106"/>
      <c r="H38" s="106"/>
      <c r="I38" s="106"/>
      <c r="J38" s="112"/>
    </row>
    <row r="39" spans="2:10" x14ac:dyDescent="0.25">
      <c r="B39" s="110"/>
      <c r="C39" s="106"/>
      <c r="D39" s="106"/>
      <c r="E39" s="106"/>
      <c r="F39" s="106"/>
      <c r="G39" s="106"/>
      <c r="H39" s="106"/>
      <c r="I39" s="106"/>
      <c r="J39" s="112"/>
    </row>
    <row r="40" spans="2:10" ht="6.75" customHeight="1" x14ac:dyDescent="0.25">
      <c r="B40" s="111"/>
      <c r="C40" s="114"/>
      <c r="D40" s="114"/>
      <c r="E40" s="114"/>
      <c r="F40" s="114"/>
      <c r="G40" s="114"/>
      <c r="H40" s="114"/>
      <c r="I40" s="114"/>
      <c r="J40" s="113"/>
    </row>
  </sheetData>
  <mergeCells count="12">
    <mergeCell ref="B24:J24"/>
    <mergeCell ref="B25:J25"/>
    <mergeCell ref="B26:B40"/>
    <mergeCell ref="C26:I39"/>
    <mergeCell ref="J26:J40"/>
    <mergeCell ref="C40:I40"/>
    <mergeCell ref="B2:J2"/>
    <mergeCell ref="C4:I21"/>
    <mergeCell ref="B3:J3"/>
    <mergeCell ref="B4:B22"/>
    <mergeCell ref="J4:J22"/>
    <mergeCell ref="C22:I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23"/>
  <sheetViews>
    <sheetView tabSelected="1" view="pageBreakPreview" zoomScale="70" zoomScaleSheetLayoutView="7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  <col min="17" max="17" width="1.855468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104"/>
      <c r="B2" s="122"/>
      <c r="C2" s="123"/>
      <c r="D2" s="124"/>
      <c r="E2" s="128" t="s">
        <v>125</v>
      </c>
      <c r="F2" s="129"/>
      <c r="G2" s="129"/>
      <c r="H2" s="129"/>
      <c r="I2" s="129"/>
      <c r="J2" s="129"/>
      <c r="K2" s="129"/>
      <c r="L2" s="129"/>
      <c r="M2" s="129"/>
      <c r="N2" s="129"/>
      <c r="O2" s="132"/>
      <c r="P2" s="133"/>
    </row>
    <row r="3" spans="1:26" s="2" customFormat="1" ht="25.5" customHeight="1" thickBot="1" x14ac:dyDescent="0.3">
      <c r="A3" s="104"/>
      <c r="B3" s="125"/>
      <c r="C3" s="126"/>
      <c r="D3" s="127"/>
      <c r="E3" s="130"/>
      <c r="F3" s="131"/>
      <c r="G3" s="131"/>
      <c r="H3" s="131"/>
      <c r="I3" s="131"/>
      <c r="J3" s="131"/>
      <c r="K3" s="131"/>
      <c r="L3" s="131"/>
      <c r="M3" s="131"/>
      <c r="N3" s="131"/>
      <c r="O3" s="134"/>
      <c r="P3" s="135"/>
    </row>
    <row r="4" spans="1:26" s="19" customFormat="1" ht="11.25" customHeight="1" thickBot="1" x14ac:dyDescent="0.3">
      <c r="A4" s="18"/>
      <c r="B4" s="115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117">
        <v>43062</v>
      </c>
      <c r="D5" s="118"/>
      <c r="E5" s="22" t="s">
        <v>53</v>
      </c>
      <c r="F5" s="23">
        <v>1</v>
      </c>
      <c r="G5" s="24" t="s">
        <v>1</v>
      </c>
      <c r="H5" s="119" t="s">
        <v>126</v>
      </c>
      <c r="I5" s="120"/>
      <c r="J5" s="120"/>
      <c r="K5" s="120"/>
      <c r="L5" s="120"/>
      <c r="M5" s="120"/>
      <c r="N5" s="120"/>
      <c r="O5" s="120"/>
      <c r="P5" s="12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136" t="s">
        <v>2</v>
      </c>
      <c r="C6" s="137"/>
      <c r="D6" s="138" t="s">
        <v>110</v>
      </c>
      <c r="E6" s="139"/>
      <c r="F6" s="139"/>
      <c r="G6" s="139"/>
      <c r="H6" s="139"/>
      <c r="I6" s="140"/>
      <c r="J6" s="28" t="s">
        <v>3</v>
      </c>
      <c r="K6" s="141" t="s">
        <v>111</v>
      </c>
      <c r="L6" s="140"/>
      <c r="M6" s="141" t="s">
        <v>112</v>
      </c>
      <c r="N6" s="142"/>
      <c r="O6" s="29" t="s">
        <v>54</v>
      </c>
      <c r="P6" s="30">
        <v>2020</v>
      </c>
    </row>
    <row r="7" spans="1:26" s="26" customFormat="1" ht="21.75" customHeight="1" x14ac:dyDescent="0.25">
      <c r="B7" s="143" t="s">
        <v>55</v>
      </c>
      <c r="C7" s="145" t="s">
        <v>56</v>
      </c>
      <c r="D7" s="146"/>
      <c r="E7" s="32"/>
      <c r="F7" s="147" t="s">
        <v>57</v>
      </c>
      <c r="G7" s="148"/>
      <c r="H7" s="148"/>
      <c r="I7" s="148"/>
      <c r="J7" s="149" t="s">
        <v>58</v>
      </c>
      <c r="K7" s="150"/>
      <c r="L7" s="150"/>
      <c r="M7" s="151"/>
      <c r="N7" s="152" t="s">
        <v>59</v>
      </c>
      <c r="O7" s="153"/>
      <c r="P7" s="33" t="s">
        <v>60</v>
      </c>
    </row>
    <row r="8" spans="1:26" s="26" customFormat="1" ht="21.75" customHeight="1" thickBot="1" x14ac:dyDescent="0.3">
      <c r="B8" s="144"/>
      <c r="C8" s="154" t="s">
        <v>61</v>
      </c>
      <c r="D8" s="155"/>
      <c r="E8" s="90" t="s">
        <v>4</v>
      </c>
      <c r="F8" s="156" t="s">
        <v>5</v>
      </c>
      <c r="G8" s="157"/>
      <c r="H8" s="157"/>
      <c r="I8" s="157"/>
      <c r="J8" s="158"/>
      <c r="K8" s="159"/>
      <c r="L8" s="159"/>
      <c r="M8" s="160"/>
      <c r="N8" s="161"/>
      <c r="O8" s="162"/>
      <c r="P8" s="34"/>
    </row>
    <row r="9" spans="1:26" s="26" customFormat="1" ht="21.75" customHeight="1" x14ac:dyDescent="0.25">
      <c r="B9" s="163" t="s">
        <v>6</v>
      </c>
      <c r="C9" s="166" t="s">
        <v>62</v>
      </c>
      <c r="D9" s="168" t="s">
        <v>63</v>
      </c>
      <c r="E9" s="169"/>
      <c r="F9" s="35"/>
      <c r="G9" s="170" t="s">
        <v>7</v>
      </c>
      <c r="H9" s="171" t="s">
        <v>8</v>
      </c>
      <c r="I9" s="146"/>
      <c r="J9" s="36"/>
      <c r="K9" s="166" t="s">
        <v>64</v>
      </c>
      <c r="L9" s="172" t="s">
        <v>113</v>
      </c>
      <c r="M9" s="173"/>
      <c r="N9" s="174"/>
      <c r="O9" s="174"/>
      <c r="P9" s="175"/>
    </row>
    <row r="10" spans="1:26" s="26" customFormat="1" ht="21.75" customHeight="1" thickBot="1" x14ac:dyDescent="0.3">
      <c r="B10" s="164"/>
      <c r="C10" s="167"/>
      <c r="D10" s="185" t="s">
        <v>65</v>
      </c>
      <c r="E10" s="155"/>
      <c r="F10" s="91"/>
      <c r="G10" s="167"/>
      <c r="H10" s="185" t="s">
        <v>9</v>
      </c>
      <c r="I10" s="155"/>
      <c r="J10" s="92" t="s">
        <v>4</v>
      </c>
      <c r="K10" s="167"/>
      <c r="L10" s="176"/>
      <c r="M10" s="177"/>
      <c r="N10" s="177"/>
      <c r="O10" s="177"/>
      <c r="P10" s="178"/>
    </row>
    <row r="11" spans="1:26" s="26" customFormat="1" ht="21.75" customHeight="1" x14ac:dyDescent="0.25">
      <c r="A11" s="20"/>
      <c r="B11" s="164"/>
      <c r="C11" s="186" t="s">
        <v>10</v>
      </c>
      <c r="D11" s="169"/>
      <c r="E11" s="93">
        <v>0.50486111111111109</v>
      </c>
      <c r="F11" s="187" t="s">
        <v>11</v>
      </c>
      <c r="G11" s="169"/>
      <c r="H11" s="98">
        <v>1.1000000000000001</v>
      </c>
      <c r="I11" s="188" t="s">
        <v>12</v>
      </c>
      <c r="J11" s="146"/>
      <c r="K11" s="94">
        <v>18</v>
      </c>
      <c r="L11" s="186" t="s">
        <v>13</v>
      </c>
      <c r="M11" s="169"/>
      <c r="N11" s="95">
        <v>1.45</v>
      </c>
      <c r="O11" s="179" t="s">
        <v>66</v>
      </c>
      <c r="P11" s="180"/>
    </row>
    <row r="12" spans="1:26" s="26" customFormat="1" ht="21.75" customHeight="1" thickBot="1" x14ac:dyDescent="0.3">
      <c r="A12" s="20"/>
      <c r="B12" s="165"/>
      <c r="C12" s="181" t="s">
        <v>14</v>
      </c>
      <c r="D12" s="155"/>
      <c r="E12" s="93">
        <v>0.54791666666666672</v>
      </c>
      <c r="F12" s="154" t="s">
        <v>15</v>
      </c>
      <c r="G12" s="155"/>
      <c r="H12" s="98">
        <v>1.1000000000000001</v>
      </c>
      <c r="I12" s="182" t="s">
        <v>16</v>
      </c>
      <c r="J12" s="155"/>
      <c r="K12" s="93">
        <v>0.50763888888888886</v>
      </c>
      <c r="L12" s="181" t="s">
        <v>17</v>
      </c>
      <c r="M12" s="155"/>
      <c r="N12" s="96">
        <v>0.1</v>
      </c>
      <c r="O12" s="183">
        <v>6.5</v>
      </c>
      <c r="P12" s="184"/>
    </row>
    <row r="13" spans="1:26" s="26" customFormat="1" ht="21.75" customHeight="1" x14ac:dyDescent="0.25">
      <c r="A13" s="20"/>
      <c r="B13" s="204" t="s">
        <v>18</v>
      </c>
      <c r="C13" s="206" t="s">
        <v>67</v>
      </c>
      <c r="D13" s="207"/>
      <c r="E13" s="207"/>
      <c r="F13" s="208" t="s">
        <v>68</v>
      </c>
      <c r="G13" s="207"/>
      <c r="H13" s="207"/>
      <c r="I13" s="207"/>
      <c r="J13" s="208" t="s">
        <v>69</v>
      </c>
      <c r="K13" s="207"/>
      <c r="L13" s="207"/>
      <c r="M13" s="207"/>
      <c r="N13" s="209" t="s">
        <v>70</v>
      </c>
      <c r="O13" s="207"/>
      <c r="P13" s="210"/>
      <c r="Q13" s="37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05"/>
      <c r="C14" s="211" t="s">
        <v>71</v>
      </c>
      <c r="D14" s="212"/>
      <c r="E14" s="212"/>
      <c r="F14" s="213" t="s">
        <v>72</v>
      </c>
      <c r="G14" s="212"/>
      <c r="H14" s="212"/>
      <c r="I14" s="212"/>
      <c r="J14" s="214" t="s">
        <v>73</v>
      </c>
      <c r="K14" s="212"/>
      <c r="L14" s="212"/>
      <c r="M14" s="212"/>
      <c r="N14" s="215"/>
      <c r="O14" s="201"/>
      <c r="P14" s="21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144"/>
      <c r="C15" s="217" t="s">
        <v>74</v>
      </c>
      <c r="D15" s="189"/>
      <c r="E15" s="189"/>
      <c r="F15" s="189" t="s">
        <v>75</v>
      </c>
      <c r="G15" s="190"/>
      <c r="H15" s="190"/>
      <c r="I15" s="190"/>
      <c r="J15" s="189" t="s">
        <v>76</v>
      </c>
      <c r="K15" s="190"/>
      <c r="L15" s="190"/>
      <c r="M15" s="190"/>
      <c r="N15" s="191"/>
      <c r="O15" s="192"/>
      <c r="P15" s="193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194" t="s">
        <v>19</v>
      </c>
      <c r="C16" s="196" t="s">
        <v>20</v>
      </c>
      <c r="D16" s="196" t="s">
        <v>41</v>
      </c>
      <c r="E16" s="198" t="s">
        <v>21</v>
      </c>
      <c r="F16" s="199" t="s">
        <v>42</v>
      </c>
      <c r="G16" s="116"/>
      <c r="H16" s="196" t="s">
        <v>77</v>
      </c>
      <c r="I16" s="202" t="s">
        <v>78</v>
      </c>
      <c r="J16" s="38" t="s">
        <v>43</v>
      </c>
      <c r="K16" s="39"/>
      <c r="L16" s="40" t="s">
        <v>44</v>
      </c>
      <c r="M16" s="40" t="s">
        <v>45</v>
      </c>
      <c r="N16" s="40" t="s">
        <v>45</v>
      </c>
      <c r="O16" s="40" t="s">
        <v>46</v>
      </c>
      <c r="P16" s="41" t="s">
        <v>22</v>
      </c>
    </row>
    <row r="17" spans="1:26" s="26" customFormat="1" ht="21.75" customHeight="1" thickBot="1" x14ac:dyDescent="0.3">
      <c r="A17" s="42"/>
      <c r="B17" s="195"/>
      <c r="C17" s="197"/>
      <c r="D17" s="197"/>
      <c r="E17" s="197"/>
      <c r="F17" s="200"/>
      <c r="G17" s="201"/>
      <c r="H17" s="197"/>
      <c r="I17" s="203"/>
      <c r="J17" s="43" t="s">
        <v>23</v>
      </c>
      <c r="K17" s="44" t="s">
        <v>24</v>
      </c>
      <c r="L17" s="44" t="s">
        <v>47</v>
      </c>
      <c r="M17" s="44" t="s">
        <v>48</v>
      </c>
      <c r="N17" s="44" t="s">
        <v>25</v>
      </c>
      <c r="O17" s="44" t="s">
        <v>26</v>
      </c>
      <c r="P17" s="45" t="s">
        <v>27</v>
      </c>
    </row>
    <row r="18" spans="1:26" s="54" customFormat="1" ht="21.75" customHeight="1" thickBot="1" x14ac:dyDescent="0.3">
      <c r="A18" s="46"/>
      <c r="B18" s="47"/>
      <c r="C18" s="48">
        <f>+O12</f>
        <v>6.5</v>
      </c>
      <c r="D18" s="48">
        <v>3.6999999999999998E-2</v>
      </c>
      <c r="E18" s="49"/>
      <c r="F18" s="50"/>
      <c r="G18" s="89"/>
      <c r="H18" s="51"/>
      <c r="I18" s="52"/>
      <c r="J18" s="88"/>
      <c r="K18" s="49"/>
      <c r="L18" s="49"/>
      <c r="M18" s="49"/>
      <c r="N18" s="49"/>
      <c r="O18" s="49"/>
      <c r="P18" s="53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s="54" customFormat="1" ht="14.1" customHeight="1" x14ac:dyDescent="0.25">
      <c r="A19" s="46"/>
      <c r="B19" s="230">
        <v>1</v>
      </c>
      <c r="C19" s="233">
        <f>+C18+$N$12</f>
        <v>6.6</v>
      </c>
      <c r="D19" s="218">
        <v>8.4000000000000005E-2</v>
      </c>
      <c r="E19" s="218">
        <v>6.7000000000000004E-2</v>
      </c>
      <c r="F19" s="55" t="s">
        <v>79</v>
      </c>
      <c r="G19" s="56">
        <v>0</v>
      </c>
      <c r="H19" s="57"/>
      <c r="I19" s="58"/>
      <c r="J19" s="59">
        <v>5.3999999999999999E-2</v>
      </c>
      <c r="K19" s="218">
        <f>+IF(E19&lt;=0.12,(J21),(IF(E19&lt;0.16,((J20+2*J21+J22)/4),IF(E19&gt;=0.16,((J19+3*J20+2*J21+3*J22+J23)/10)))))</f>
        <v>8.5000000000000006E-2</v>
      </c>
      <c r="L19" s="218">
        <f>ROUND(+(D18+D19)/2*(C19-C18),3)</f>
        <v>6.0000000000000001E-3</v>
      </c>
      <c r="M19" s="218">
        <f>ROUND(+K19*L19,4)</f>
        <v>5.0000000000000001E-4</v>
      </c>
      <c r="N19" s="221">
        <f>ROUND(+M19/$M$108*100,2)</f>
        <v>1.53</v>
      </c>
      <c r="O19" s="224"/>
      <c r="P19" s="227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s="54" customFormat="1" ht="14.1" customHeight="1" x14ac:dyDescent="0.25">
      <c r="A20" s="46"/>
      <c r="B20" s="231"/>
      <c r="C20" s="234"/>
      <c r="D20" s="219"/>
      <c r="E20" s="219"/>
      <c r="F20" s="60" t="s">
        <v>80</v>
      </c>
      <c r="G20" s="61" t="str">
        <f>IF(E19&lt;0.125,"NA",IF(0.125&lt;=E19,(0.2*E19)))</f>
        <v>NA</v>
      </c>
      <c r="H20" s="62"/>
      <c r="I20" s="63"/>
      <c r="J20" s="64"/>
      <c r="K20" s="219"/>
      <c r="L20" s="219"/>
      <c r="M20" s="219"/>
      <c r="N20" s="222"/>
      <c r="O20" s="225"/>
      <c r="P20" s="228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s="54" customFormat="1" ht="14.1" customHeight="1" x14ac:dyDescent="0.25">
      <c r="A21" s="46"/>
      <c r="B21" s="231"/>
      <c r="C21" s="234"/>
      <c r="D21" s="219"/>
      <c r="E21" s="219"/>
      <c r="F21" s="60" t="s">
        <v>81</v>
      </c>
      <c r="G21" s="61">
        <f>+E19*0.4</f>
        <v>2.6800000000000004E-2</v>
      </c>
      <c r="H21" s="62"/>
      <c r="I21" s="63"/>
      <c r="J21" s="64">
        <v>8.5000000000000006E-2</v>
      </c>
      <c r="K21" s="219"/>
      <c r="L21" s="219"/>
      <c r="M21" s="219"/>
      <c r="N21" s="222"/>
      <c r="O21" s="225"/>
      <c r="P21" s="228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s="54" customFormat="1" ht="14.1" customHeight="1" x14ac:dyDescent="0.25">
      <c r="A22" s="46"/>
      <c r="B22" s="231"/>
      <c r="C22" s="234"/>
      <c r="D22" s="219"/>
      <c r="E22" s="219"/>
      <c r="F22" s="60" t="s">
        <v>82</v>
      </c>
      <c r="G22" s="61" t="str">
        <f>IF(E19&lt;0.125,"NA",IF(0.125&lt;=E19,(0.8*E19)))</f>
        <v>NA</v>
      </c>
      <c r="H22" s="62"/>
      <c r="I22" s="63"/>
      <c r="J22" s="64"/>
      <c r="K22" s="219"/>
      <c r="L22" s="219"/>
      <c r="M22" s="219"/>
      <c r="N22" s="222"/>
      <c r="O22" s="225"/>
      <c r="P22" s="228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s="54" customFormat="1" ht="14.1" customHeight="1" thickBot="1" x14ac:dyDescent="0.3">
      <c r="A23" s="46"/>
      <c r="B23" s="232"/>
      <c r="C23" s="235"/>
      <c r="D23" s="220"/>
      <c r="E23" s="220"/>
      <c r="F23" s="65" t="s">
        <v>83</v>
      </c>
      <c r="G23" s="66">
        <f>+E19</f>
        <v>6.7000000000000004E-2</v>
      </c>
      <c r="H23" s="67"/>
      <c r="I23" s="68"/>
      <c r="J23" s="69" t="s">
        <v>114</v>
      </c>
      <c r="K23" s="220"/>
      <c r="L23" s="220"/>
      <c r="M23" s="220"/>
      <c r="N23" s="223"/>
      <c r="O23" s="226"/>
      <c r="P23" s="229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s="54" customFormat="1" ht="14.1" customHeight="1" x14ac:dyDescent="0.25">
      <c r="A24" s="46"/>
      <c r="B24" s="230">
        <v>2</v>
      </c>
      <c r="C24" s="233">
        <f>+C19+$N$12</f>
        <v>6.6999999999999993</v>
      </c>
      <c r="D24" s="218">
        <v>7.0999999999999994E-2</v>
      </c>
      <c r="E24" s="218">
        <v>7.8E-2</v>
      </c>
      <c r="F24" s="55" t="s">
        <v>79</v>
      </c>
      <c r="G24" s="56">
        <v>0</v>
      </c>
      <c r="H24" s="57"/>
      <c r="I24" s="58"/>
      <c r="J24" s="59">
        <v>0.104</v>
      </c>
      <c r="K24" s="218">
        <f t="shared" ref="K24" si="0">+IF(E24&lt;=0.12,(J26),(IF(E24&lt;0.16,((J25+2*J26+J27)/4),IF(E24&gt;=0.16,((J24+3*J25+2*J26+3*J27+J28)/10)))))</f>
        <v>0.114</v>
      </c>
      <c r="L24" s="218">
        <f>ROUND(+(D19+D24)/2*(C24-C19),3)</f>
        <v>8.0000000000000002E-3</v>
      </c>
      <c r="M24" s="218">
        <f t="shared" ref="M24" si="1">ROUND(+K24*L24,4)</f>
        <v>8.9999999999999998E-4</v>
      </c>
      <c r="N24" s="221">
        <f t="shared" ref="N24" si="2">ROUND(+M24/$M$108*100,2)</f>
        <v>2.75</v>
      </c>
      <c r="O24" s="224"/>
      <c r="P24" s="227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s="54" customFormat="1" ht="14.1" customHeight="1" x14ac:dyDescent="0.25">
      <c r="A25" s="46"/>
      <c r="B25" s="231"/>
      <c r="C25" s="234"/>
      <c r="D25" s="219"/>
      <c r="E25" s="219"/>
      <c r="F25" s="60" t="s">
        <v>80</v>
      </c>
      <c r="G25" s="61" t="str">
        <f t="shared" ref="G25" si="3">IF(E24&lt;0.125,"NA",IF(0.125&lt;=E24,(0.2*E24)))</f>
        <v>NA</v>
      </c>
      <c r="H25" s="62"/>
      <c r="I25" s="63"/>
      <c r="J25" s="64"/>
      <c r="K25" s="219"/>
      <c r="L25" s="219"/>
      <c r="M25" s="219"/>
      <c r="N25" s="222"/>
      <c r="O25" s="225"/>
      <c r="P25" s="228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s="54" customFormat="1" ht="14.1" customHeight="1" x14ac:dyDescent="0.25">
      <c r="A26" s="46"/>
      <c r="B26" s="231"/>
      <c r="C26" s="234"/>
      <c r="D26" s="219"/>
      <c r="E26" s="219"/>
      <c r="F26" s="60" t="s">
        <v>81</v>
      </c>
      <c r="G26" s="61">
        <f t="shared" ref="G26" si="4">+E24*0.4</f>
        <v>3.1200000000000002E-2</v>
      </c>
      <c r="H26" s="62"/>
      <c r="I26" s="63"/>
      <c r="J26" s="64">
        <v>0.114</v>
      </c>
      <c r="K26" s="219"/>
      <c r="L26" s="219"/>
      <c r="M26" s="219"/>
      <c r="N26" s="222"/>
      <c r="O26" s="225"/>
      <c r="P26" s="228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s="54" customFormat="1" ht="14.1" customHeight="1" x14ac:dyDescent="0.25">
      <c r="A27" s="46"/>
      <c r="B27" s="231"/>
      <c r="C27" s="234"/>
      <c r="D27" s="219"/>
      <c r="E27" s="219"/>
      <c r="F27" s="60" t="s">
        <v>82</v>
      </c>
      <c r="G27" s="61" t="str">
        <f t="shared" ref="G27" si="5">IF(E24&lt;0.125,"NA",IF(0.125&lt;=E24,(0.8*E24)))</f>
        <v>NA</v>
      </c>
      <c r="H27" s="62"/>
      <c r="I27" s="63"/>
      <c r="J27" s="64"/>
      <c r="K27" s="219"/>
      <c r="L27" s="219"/>
      <c r="M27" s="219"/>
      <c r="N27" s="222"/>
      <c r="O27" s="225"/>
      <c r="P27" s="228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s="54" customFormat="1" ht="14.1" customHeight="1" thickBot="1" x14ac:dyDescent="0.3">
      <c r="A28" s="46"/>
      <c r="B28" s="232"/>
      <c r="C28" s="235"/>
      <c r="D28" s="220"/>
      <c r="E28" s="220"/>
      <c r="F28" s="65" t="s">
        <v>83</v>
      </c>
      <c r="G28" s="66">
        <f t="shared" ref="G28" si="6">+E24</f>
        <v>7.8E-2</v>
      </c>
      <c r="H28" s="67"/>
      <c r="I28" s="68"/>
      <c r="J28" s="69">
        <v>0.13300000000000001</v>
      </c>
      <c r="K28" s="220"/>
      <c r="L28" s="220"/>
      <c r="M28" s="220"/>
      <c r="N28" s="223"/>
      <c r="O28" s="226"/>
      <c r="P28" s="229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s="54" customFormat="1" ht="14.1" customHeight="1" x14ac:dyDescent="0.25">
      <c r="A29" s="46"/>
      <c r="B29" s="230">
        <v>3</v>
      </c>
      <c r="C29" s="233">
        <f>+C24+$N$12</f>
        <v>6.7999999999999989</v>
      </c>
      <c r="D29" s="218">
        <v>8.5000000000000006E-2</v>
      </c>
      <c r="E29" s="218">
        <v>8.1000000000000003E-2</v>
      </c>
      <c r="F29" s="55" t="s">
        <v>79</v>
      </c>
      <c r="G29" s="56">
        <v>0</v>
      </c>
      <c r="H29" s="57"/>
      <c r="I29" s="58"/>
      <c r="J29" s="59">
        <v>0.20899999999999999</v>
      </c>
      <c r="K29" s="218">
        <f t="shared" ref="K29" si="7">+IF(E29&lt;=0.12,(J31),(IF(E29&lt;0.16,((J30+2*J31+J32)/4),IF(E29&gt;=0.16,((J29+3*J30+2*J31+3*J32+J33)/10)))))</f>
        <v>0.20200000000000001</v>
      </c>
      <c r="L29" s="218">
        <f t="shared" ref="L29" si="8">ROUND(+(D24+D29)/2*(C29-C24),3)</f>
        <v>8.0000000000000002E-3</v>
      </c>
      <c r="M29" s="218">
        <f t="shared" ref="M29" si="9">ROUND(+K29*L29,4)</f>
        <v>1.6000000000000001E-3</v>
      </c>
      <c r="N29" s="221">
        <f t="shared" ref="N29" si="10">ROUND(+M29/$M$108*100,2)</f>
        <v>4.8899999999999997</v>
      </c>
      <c r="O29" s="224"/>
      <c r="P29" s="227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s="54" customFormat="1" ht="14.1" customHeight="1" x14ac:dyDescent="0.25">
      <c r="A30" s="46"/>
      <c r="B30" s="231"/>
      <c r="C30" s="234"/>
      <c r="D30" s="219"/>
      <c r="E30" s="219"/>
      <c r="F30" s="60" t="s">
        <v>80</v>
      </c>
      <c r="G30" s="61" t="str">
        <f t="shared" ref="G30" si="11">IF(E29&lt;0.125,"NA",IF(0.125&lt;=E29,(0.2*E29)))</f>
        <v>NA</v>
      </c>
      <c r="H30" s="62"/>
      <c r="I30" s="63"/>
      <c r="J30" s="64"/>
      <c r="K30" s="219"/>
      <c r="L30" s="219"/>
      <c r="M30" s="219"/>
      <c r="N30" s="222"/>
      <c r="O30" s="225"/>
      <c r="P30" s="228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s="54" customFormat="1" ht="14.1" customHeight="1" x14ac:dyDescent="0.25">
      <c r="A31" s="46"/>
      <c r="B31" s="231"/>
      <c r="C31" s="234"/>
      <c r="D31" s="219"/>
      <c r="E31" s="219"/>
      <c r="F31" s="60" t="s">
        <v>81</v>
      </c>
      <c r="G31" s="61">
        <f t="shared" ref="G31" si="12">+E29*0.4</f>
        <v>3.2400000000000005E-2</v>
      </c>
      <c r="H31" s="62"/>
      <c r="I31" s="63"/>
      <c r="J31" s="64">
        <v>0.20200000000000001</v>
      </c>
      <c r="K31" s="219"/>
      <c r="L31" s="219"/>
      <c r="M31" s="219"/>
      <c r="N31" s="222"/>
      <c r="O31" s="225"/>
      <c r="P31" s="228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s="54" customFormat="1" ht="14.1" customHeight="1" x14ac:dyDescent="0.25">
      <c r="A32" s="46"/>
      <c r="B32" s="231"/>
      <c r="C32" s="234"/>
      <c r="D32" s="219"/>
      <c r="E32" s="219"/>
      <c r="F32" s="60" t="s">
        <v>82</v>
      </c>
      <c r="G32" s="61" t="str">
        <f t="shared" ref="G32" si="13">IF(E29&lt;0.125,"NA",IF(0.125&lt;=E29,(0.8*E29)))</f>
        <v>NA</v>
      </c>
      <c r="H32" s="62"/>
      <c r="I32" s="63"/>
      <c r="J32" s="64"/>
      <c r="K32" s="219"/>
      <c r="L32" s="219"/>
      <c r="M32" s="219"/>
      <c r="N32" s="222"/>
      <c r="O32" s="225"/>
      <c r="P32" s="228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s="54" customFormat="1" ht="14.1" customHeight="1" thickBot="1" x14ac:dyDescent="0.3">
      <c r="A33" s="46"/>
      <c r="B33" s="232"/>
      <c r="C33" s="235"/>
      <c r="D33" s="220"/>
      <c r="E33" s="220"/>
      <c r="F33" s="65" t="s">
        <v>83</v>
      </c>
      <c r="G33" s="66">
        <f t="shared" ref="G33" si="14">+E29</f>
        <v>8.1000000000000003E-2</v>
      </c>
      <c r="H33" s="67"/>
      <c r="I33" s="68"/>
      <c r="J33" s="69">
        <v>0.23499999999999999</v>
      </c>
      <c r="K33" s="220"/>
      <c r="L33" s="220"/>
      <c r="M33" s="220"/>
      <c r="N33" s="223"/>
      <c r="O33" s="226"/>
      <c r="P33" s="229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s="54" customFormat="1" ht="14.1" customHeight="1" x14ac:dyDescent="0.25">
      <c r="A34" s="46"/>
      <c r="B34" s="230">
        <v>4</v>
      </c>
      <c r="C34" s="233">
        <f>+C29+$N$12</f>
        <v>6.8999999999999986</v>
      </c>
      <c r="D34" s="218">
        <v>8.3000000000000004E-2</v>
      </c>
      <c r="E34" s="218">
        <v>7.9000000000000001E-2</v>
      </c>
      <c r="F34" s="55" t="s">
        <v>79</v>
      </c>
      <c r="G34" s="56">
        <v>0</v>
      </c>
      <c r="H34" s="57"/>
      <c r="I34" s="58"/>
      <c r="J34" s="59">
        <v>0.152</v>
      </c>
      <c r="K34" s="218">
        <f t="shared" ref="K34" si="15">+IF(E34&lt;=0.12,(J36),(IF(E34&lt;0.16,((J35+2*J36+J37)/4),IF(E34&gt;=0.16,((J34+3*J35+2*J36+3*J37+J38)/10)))))</f>
        <v>0.24</v>
      </c>
      <c r="L34" s="218">
        <f t="shared" ref="L34" si="16">ROUND(+(D29+D34)/2*(C34-C29),3)</f>
        <v>8.0000000000000002E-3</v>
      </c>
      <c r="M34" s="218">
        <f t="shared" ref="M34" si="17">ROUND(+K34*L34,4)</f>
        <v>1.9E-3</v>
      </c>
      <c r="N34" s="221">
        <f t="shared" ref="N34" si="18">ROUND(+M34/$M$108*100,2)</f>
        <v>5.81</v>
      </c>
      <c r="O34" s="224"/>
      <c r="P34" s="227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s="54" customFormat="1" ht="14.1" customHeight="1" x14ac:dyDescent="0.25">
      <c r="A35" s="46"/>
      <c r="B35" s="231"/>
      <c r="C35" s="234"/>
      <c r="D35" s="219"/>
      <c r="E35" s="219"/>
      <c r="F35" s="60" t="s">
        <v>80</v>
      </c>
      <c r="G35" s="61" t="str">
        <f t="shared" ref="G35" si="19">IF(E34&lt;0.125,"NA",IF(0.125&lt;=E34,(0.2*E34)))</f>
        <v>NA</v>
      </c>
      <c r="H35" s="62"/>
      <c r="I35" s="63"/>
      <c r="J35" s="64"/>
      <c r="K35" s="219"/>
      <c r="L35" s="219"/>
      <c r="M35" s="219"/>
      <c r="N35" s="222"/>
      <c r="O35" s="225"/>
      <c r="P35" s="228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s="54" customFormat="1" ht="14.1" customHeight="1" x14ac:dyDescent="0.25">
      <c r="A36" s="46"/>
      <c r="B36" s="231"/>
      <c r="C36" s="234"/>
      <c r="D36" s="219"/>
      <c r="E36" s="219"/>
      <c r="F36" s="60" t="s">
        <v>81</v>
      </c>
      <c r="G36" s="61">
        <f t="shared" ref="G36" si="20">+E34*0.4</f>
        <v>3.1600000000000003E-2</v>
      </c>
      <c r="H36" s="62"/>
      <c r="I36" s="63"/>
      <c r="J36" s="64">
        <v>0.24</v>
      </c>
      <c r="K36" s="219"/>
      <c r="L36" s="219"/>
      <c r="M36" s="219"/>
      <c r="N36" s="222"/>
      <c r="O36" s="225"/>
      <c r="P36" s="228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s="54" customFormat="1" ht="14.1" customHeight="1" x14ac:dyDescent="0.25">
      <c r="A37" s="46"/>
      <c r="B37" s="231"/>
      <c r="C37" s="234"/>
      <c r="D37" s="219"/>
      <c r="E37" s="219"/>
      <c r="F37" s="60" t="s">
        <v>82</v>
      </c>
      <c r="G37" s="61" t="str">
        <f t="shared" ref="G37" si="21">IF(E34&lt;0.125,"NA",IF(0.125&lt;=E34,(0.8*E34)))</f>
        <v>NA</v>
      </c>
      <c r="H37" s="62"/>
      <c r="I37" s="63"/>
      <c r="J37" s="64"/>
      <c r="K37" s="219"/>
      <c r="L37" s="219"/>
      <c r="M37" s="219"/>
      <c r="N37" s="222"/>
      <c r="O37" s="225"/>
      <c r="P37" s="228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s="54" customFormat="1" ht="14.1" customHeight="1" thickBot="1" x14ac:dyDescent="0.3">
      <c r="A38" s="46"/>
      <c r="B38" s="232"/>
      <c r="C38" s="235"/>
      <c r="D38" s="220"/>
      <c r="E38" s="220"/>
      <c r="F38" s="65" t="s">
        <v>83</v>
      </c>
      <c r="G38" s="66">
        <f t="shared" ref="G38" si="22">+E34</f>
        <v>7.9000000000000001E-2</v>
      </c>
      <c r="H38" s="67"/>
      <c r="I38" s="68"/>
      <c r="J38" s="69">
        <v>0.31</v>
      </c>
      <c r="K38" s="220"/>
      <c r="L38" s="220"/>
      <c r="M38" s="220"/>
      <c r="N38" s="223"/>
      <c r="O38" s="226"/>
      <c r="P38" s="229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s="54" customFormat="1" ht="14.1" customHeight="1" x14ac:dyDescent="0.25">
      <c r="A39" s="46"/>
      <c r="B39" s="230">
        <v>5</v>
      </c>
      <c r="C39" s="233">
        <f>+C34+$N$12</f>
        <v>6.9999999999999982</v>
      </c>
      <c r="D39" s="218">
        <v>8.5000000000000006E-2</v>
      </c>
      <c r="E39" s="218">
        <v>8.7999999999999995E-2</v>
      </c>
      <c r="F39" s="55" t="s">
        <v>79</v>
      </c>
      <c r="G39" s="56">
        <v>0</v>
      </c>
      <c r="H39" s="57"/>
      <c r="I39" s="58"/>
      <c r="J39" s="59">
        <v>0.29499999999999998</v>
      </c>
      <c r="K39" s="218">
        <f t="shared" ref="K39" si="23">+IF(E39&lt;=0.12,(J41),(IF(E39&lt;0.16,((J40+2*J41+J42)/4),IF(E39&gt;=0.16,((J39+3*J40+2*J41+3*J42+J43)/10)))))</f>
        <v>0.312</v>
      </c>
      <c r="L39" s="218">
        <f t="shared" ref="L39" si="24">ROUND(+(D34+D39)/2*(C39-C34),3)</f>
        <v>8.0000000000000002E-3</v>
      </c>
      <c r="M39" s="218">
        <f t="shared" ref="M39" si="25">ROUND(+K39*L39,4)</f>
        <v>2.5000000000000001E-3</v>
      </c>
      <c r="N39" s="221">
        <f t="shared" ref="N39" si="26">ROUND(+M39/$M$108*100,2)</f>
        <v>7.65</v>
      </c>
      <c r="O39" s="224"/>
      <c r="P39" s="227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s="54" customFormat="1" ht="14.1" customHeight="1" x14ac:dyDescent="0.25">
      <c r="A40" s="46"/>
      <c r="B40" s="231"/>
      <c r="C40" s="234"/>
      <c r="D40" s="219"/>
      <c r="E40" s="219"/>
      <c r="F40" s="60" t="s">
        <v>80</v>
      </c>
      <c r="G40" s="61" t="str">
        <f t="shared" ref="G40" si="27">IF(E39&lt;0.125,"NA",IF(0.125&lt;=E39,(0.2*E39)))</f>
        <v>NA</v>
      </c>
      <c r="H40" s="62"/>
      <c r="I40" s="63"/>
      <c r="J40" s="64"/>
      <c r="K40" s="219"/>
      <c r="L40" s="219"/>
      <c r="M40" s="219"/>
      <c r="N40" s="222"/>
      <c r="O40" s="225"/>
      <c r="P40" s="228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s="54" customFormat="1" ht="14.1" customHeight="1" x14ac:dyDescent="0.25">
      <c r="A41" s="46"/>
      <c r="B41" s="231"/>
      <c r="C41" s="234"/>
      <c r="D41" s="219"/>
      <c r="E41" s="219"/>
      <c r="F41" s="60" t="s">
        <v>81</v>
      </c>
      <c r="G41" s="61">
        <f t="shared" ref="G41" si="28">+E39*0.4</f>
        <v>3.5200000000000002E-2</v>
      </c>
      <c r="H41" s="62"/>
      <c r="I41" s="63"/>
      <c r="J41" s="64">
        <v>0.312</v>
      </c>
      <c r="K41" s="219"/>
      <c r="L41" s="219"/>
      <c r="M41" s="219"/>
      <c r="N41" s="222"/>
      <c r="O41" s="225"/>
      <c r="P41" s="228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s="54" customFormat="1" ht="14.1" customHeight="1" x14ac:dyDescent="0.25">
      <c r="A42" s="46"/>
      <c r="B42" s="231"/>
      <c r="C42" s="234"/>
      <c r="D42" s="219"/>
      <c r="E42" s="219"/>
      <c r="F42" s="60" t="s">
        <v>82</v>
      </c>
      <c r="G42" s="61" t="str">
        <f t="shared" ref="G42" si="29">IF(E39&lt;0.125,"NA",IF(0.125&lt;=E39,(0.8*E39)))</f>
        <v>NA</v>
      </c>
      <c r="H42" s="62"/>
      <c r="I42" s="63"/>
      <c r="J42" s="64"/>
      <c r="K42" s="219"/>
      <c r="L42" s="219"/>
      <c r="M42" s="219"/>
      <c r="N42" s="222"/>
      <c r="O42" s="225"/>
      <c r="P42" s="228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s="54" customFormat="1" ht="14.1" customHeight="1" thickBot="1" x14ac:dyDescent="0.3">
      <c r="A43" s="46"/>
      <c r="B43" s="232"/>
      <c r="C43" s="235"/>
      <c r="D43" s="220"/>
      <c r="E43" s="220"/>
      <c r="F43" s="65" t="s">
        <v>83</v>
      </c>
      <c r="G43" s="66">
        <f t="shared" ref="G43" si="30">+E39</f>
        <v>8.7999999999999995E-2</v>
      </c>
      <c r="H43" s="67"/>
      <c r="I43" s="68"/>
      <c r="J43" s="69">
        <v>0.23799999999999999</v>
      </c>
      <c r="K43" s="220"/>
      <c r="L43" s="220"/>
      <c r="M43" s="220"/>
      <c r="N43" s="223"/>
      <c r="O43" s="226"/>
      <c r="P43" s="229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s="54" customFormat="1" ht="14.1" customHeight="1" x14ac:dyDescent="0.25">
      <c r="A44" s="46"/>
      <c r="B44" s="230">
        <v>6</v>
      </c>
      <c r="C44" s="233">
        <f>+C39+$N$12</f>
        <v>7.0999999999999979</v>
      </c>
      <c r="D44" s="218">
        <v>8.3000000000000004E-2</v>
      </c>
      <c r="E44" s="218">
        <v>8.3000000000000004E-2</v>
      </c>
      <c r="F44" s="55" t="s">
        <v>79</v>
      </c>
      <c r="G44" s="56">
        <v>0</v>
      </c>
      <c r="H44" s="57"/>
      <c r="I44" s="58"/>
      <c r="J44" s="59">
        <v>0.24299999999999999</v>
      </c>
      <c r="K44" s="218">
        <f t="shared" ref="K44" si="31">+IF(E44&lt;=0.12,(J46),(IF(E44&lt;0.16,((J45+2*J46+J47)/4),IF(E44&gt;=0.16,((J44+3*J45+2*J46+3*J47+J48)/10)))))</f>
        <v>0.34899999999999998</v>
      </c>
      <c r="L44" s="218">
        <f t="shared" ref="L44" si="32">ROUND(+(D39+D44)/2*(C44-C39),3)</f>
        <v>8.0000000000000002E-3</v>
      </c>
      <c r="M44" s="218">
        <f t="shared" ref="M44" si="33">ROUND(+K44*L44,4)</f>
        <v>2.8E-3</v>
      </c>
      <c r="N44" s="221">
        <f t="shared" ref="N44" si="34">ROUND(+M44/$M$108*100,2)</f>
        <v>8.56</v>
      </c>
      <c r="O44" s="224"/>
      <c r="P44" s="227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s="54" customFormat="1" ht="14.1" customHeight="1" x14ac:dyDescent="0.25">
      <c r="A45" s="46"/>
      <c r="B45" s="231"/>
      <c r="C45" s="234"/>
      <c r="D45" s="219"/>
      <c r="E45" s="219"/>
      <c r="F45" s="60" t="s">
        <v>80</v>
      </c>
      <c r="G45" s="61" t="str">
        <f t="shared" ref="G45" si="35">IF(E44&lt;0.125,"NA",IF(0.125&lt;=E44,(0.2*E44)))</f>
        <v>NA</v>
      </c>
      <c r="H45" s="62"/>
      <c r="I45" s="63"/>
      <c r="J45" s="64"/>
      <c r="K45" s="219"/>
      <c r="L45" s="219"/>
      <c r="M45" s="219"/>
      <c r="N45" s="222"/>
      <c r="O45" s="225"/>
      <c r="P45" s="228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s="54" customFormat="1" ht="14.1" customHeight="1" x14ac:dyDescent="0.25">
      <c r="A46" s="46"/>
      <c r="B46" s="231"/>
      <c r="C46" s="234"/>
      <c r="D46" s="219"/>
      <c r="E46" s="219"/>
      <c r="F46" s="60" t="s">
        <v>81</v>
      </c>
      <c r="G46" s="61">
        <f t="shared" ref="G46" si="36">+E44*0.4</f>
        <v>3.32E-2</v>
      </c>
      <c r="H46" s="62"/>
      <c r="I46" s="63"/>
      <c r="J46" s="64">
        <v>0.34899999999999998</v>
      </c>
      <c r="K46" s="219"/>
      <c r="L46" s="219"/>
      <c r="M46" s="219"/>
      <c r="N46" s="222"/>
      <c r="O46" s="225"/>
      <c r="P46" s="228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s="54" customFormat="1" ht="14.1" customHeight="1" x14ac:dyDescent="0.25">
      <c r="A47" s="46"/>
      <c r="B47" s="231"/>
      <c r="C47" s="234"/>
      <c r="D47" s="219"/>
      <c r="E47" s="219"/>
      <c r="F47" s="60" t="s">
        <v>82</v>
      </c>
      <c r="G47" s="61" t="str">
        <f t="shared" ref="G47" si="37">IF(E44&lt;0.125,"NA",IF(0.125&lt;=E44,(0.8*E44)))</f>
        <v>NA</v>
      </c>
      <c r="H47" s="62"/>
      <c r="I47" s="63"/>
      <c r="J47" s="64"/>
      <c r="K47" s="219"/>
      <c r="L47" s="219"/>
      <c r="M47" s="219"/>
      <c r="N47" s="222"/>
      <c r="O47" s="225"/>
      <c r="P47" s="228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s="54" customFormat="1" ht="14.1" customHeight="1" thickBot="1" x14ac:dyDescent="0.3">
      <c r="A48" s="46"/>
      <c r="B48" s="232"/>
      <c r="C48" s="235"/>
      <c r="D48" s="220"/>
      <c r="E48" s="220"/>
      <c r="F48" s="65" t="s">
        <v>83</v>
      </c>
      <c r="G48" s="66">
        <f t="shared" ref="G48" si="38">+E44</f>
        <v>8.3000000000000004E-2</v>
      </c>
      <c r="H48" s="67"/>
      <c r="I48" s="68"/>
      <c r="J48" s="69">
        <v>0.36</v>
      </c>
      <c r="K48" s="220"/>
      <c r="L48" s="220"/>
      <c r="M48" s="220"/>
      <c r="N48" s="223"/>
      <c r="O48" s="226"/>
      <c r="P48" s="229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s="54" customFormat="1" ht="14.1" customHeight="1" x14ac:dyDescent="0.25">
      <c r="A49" s="46"/>
      <c r="B49" s="230">
        <v>7</v>
      </c>
      <c r="C49" s="233">
        <f>+C44+$N$12</f>
        <v>7.1999999999999975</v>
      </c>
      <c r="D49" s="218">
        <v>8.7999999999999995E-2</v>
      </c>
      <c r="E49" s="218">
        <v>0.08</v>
      </c>
      <c r="F49" s="55" t="s">
        <v>79</v>
      </c>
      <c r="G49" s="56">
        <v>0</v>
      </c>
      <c r="H49" s="57"/>
      <c r="I49" s="58"/>
      <c r="J49" s="59">
        <v>0.309</v>
      </c>
      <c r="K49" s="218">
        <f t="shared" ref="K49" si="39">+IF(E49&lt;=0.12,(J51),(IF(E49&lt;0.16,((J50+2*J51+J52)/4),IF(E49&gt;=0.16,((J49+3*J50+2*J51+3*J52+J53)/10)))))</f>
        <v>0.28199999999999997</v>
      </c>
      <c r="L49" s="218">
        <f t="shared" ref="L49" si="40">ROUND(+(D44+D49)/2*(C49-C44),3)</f>
        <v>8.9999999999999993E-3</v>
      </c>
      <c r="M49" s="218">
        <f t="shared" ref="M49" si="41">ROUND(+K49*L49,4)</f>
        <v>2.5000000000000001E-3</v>
      </c>
      <c r="N49" s="221">
        <f t="shared" ref="N49" si="42">ROUND(+M49/$M$108*100,2)</f>
        <v>7.65</v>
      </c>
      <c r="O49" s="224"/>
      <c r="P49" s="227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s="54" customFormat="1" ht="14.1" customHeight="1" x14ac:dyDescent="0.25">
      <c r="A50" s="46"/>
      <c r="B50" s="231"/>
      <c r="C50" s="234"/>
      <c r="D50" s="219"/>
      <c r="E50" s="219"/>
      <c r="F50" s="60" t="s">
        <v>80</v>
      </c>
      <c r="G50" s="61" t="str">
        <f t="shared" ref="G50" si="43">IF(E49&lt;0.125,"NA",IF(0.125&lt;=E49,(0.2*E49)))</f>
        <v>NA</v>
      </c>
      <c r="H50" s="62"/>
      <c r="I50" s="63"/>
      <c r="J50" s="64"/>
      <c r="K50" s="219"/>
      <c r="L50" s="219"/>
      <c r="M50" s="219"/>
      <c r="N50" s="222"/>
      <c r="O50" s="225"/>
      <c r="P50" s="228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s="54" customFormat="1" ht="14.1" customHeight="1" x14ac:dyDescent="0.25">
      <c r="A51" s="46"/>
      <c r="B51" s="231"/>
      <c r="C51" s="234"/>
      <c r="D51" s="219"/>
      <c r="E51" s="219"/>
      <c r="F51" s="60" t="s">
        <v>81</v>
      </c>
      <c r="G51" s="61">
        <f t="shared" ref="G51" si="44">+E49*0.4</f>
        <v>3.2000000000000001E-2</v>
      </c>
      <c r="H51" s="62"/>
      <c r="I51" s="63"/>
      <c r="J51" s="64">
        <v>0.28199999999999997</v>
      </c>
      <c r="K51" s="219"/>
      <c r="L51" s="219"/>
      <c r="M51" s="219"/>
      <c r="N51" s="222"/>
      <c r="O51" s="225"/>
      <c r="P51" s="228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s="54" customFormat="1" ht="14.1" customHeight="1" x14ac:dyDescent="0.25">
      <c r="A52" s="46"/>
      <c r="B52" s="231"/>
      <c r="C52" s="234"/>
      <c r="D52" s="219"/>
      <c r="E52" s="219"/>
      <c r="F52" s="60" t="s">
        <v>82</v>
      </c>
      <c r="G52" s="61" t="str">
        <f t="shared" ref="G52" si="45">IF(E49&lt;0.125,"NA",IF(0.125&lt;=E49,(0.8*E49)))</f>
        <v>NA</v>
      </c>
      <c r="H52" s="62"/>
      <c r="I52" s="63"/>
      <c r="J52" s="64"/>
      <c r="K52" s="219"/>
      <c r="L52" s="219"/>
      <c r="M52" s="219"/>
      <c r="N52" s="222"/>
      <c r="O52" s="225"/>
      <c r="P52" s="228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s="54" customFormat="1" ht="14.1" customHeight="1" thickBot="1" x14ac:dyDescent="0.3">
      <c r="A53" s="46"/>
      <c r="B53" s="232"/>
      <c r="C53" s="235"/>
      <c r="D53" s="220"/>
      <c r="E53" s="220"/>
      <c r="F53" s="65" t="s">
        <v>83</v>
      </c>
      <c r="G53" s="66">
        <f t="shared" ref="G53" si="46">+E49</f>
        <v>0.08</v>
      </c>
      <c r="H53" s="67"/>
      <c r="I53" s="68"/>
      <c r="J53" s="69">
        <v>0.315</v>
      </c>
      <c r="K53" s="220"/>
      <c r="L53" s="220"/>
      <c r="M53" s="220"/>
      <c r="N53" s="223"/>
      <c r="O53" s="226"/>
      <c r="P53" s="229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s="54" customFormat="1" ht="14.1" customHeight="1" x14ac:dyDescent="0.25">
      <c r="A54" s="46"/>
      <c r="B54" s="230">
        <v>8</v>
      </c>
      <c r="C54" s="233">
        <f>+C49+$N$12</f>
        <v>7.2999999999999972</v>
      </c>
      <c r="D54" s="218">
        <v>9.2999999999999999E-2</v>
      </c>
      <c r="E54" s="218">
        <v>8.8999999999999996E-2</v>
      </c>
      <c r="F54" s="55" t="s">
        <v>79</v>
      </c>
      <c r="G54" s="56">
        <v>0</v>
      </c>
      <c r="H54" s="57"/>
      <c r="I54" s="58"/>
      <c r="J54" s="59">
        <v>0.32300000000000001</v>
      </c>
      <c r="K54" s="218">
        <f t="shared" ref="K54" si="47">+IF(E54&lt;=0.12,(J56),(IF(E54&lt;0.16,((J55+2*J56+J57)/4),IF(E54&gt;=0.16,((J54+3*J55+2*J56+3*J57+J58)/10)))))</f>
        <v>0.34100000000000003</v>
      </c>
      <c r="L54" s="218">
        <f t="shared" ref="L54" si="48">ROUND(+(D49+D54)/2*(C54-C49),3)</f>
        <v>8.9999999999999993E-3</v>
      </c>
      <c r="M54" s="218">
        <f t="shared" ref="M54" si="49">ROUND(+K54*L54,4)</f>
        <v>3.0999999999999999E-3</v>
      </c>
      <c r="N54" s="221">
        <f t="shared" ref="N54" si="50">ROUND(+M54/$M$108*100,2)</f>
        <v>9.48</v>
      </c>
      <c r="O54" s="224"/>
      <c r="P54" s="227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s="54" customFormat="1" ht="14.1" customHeight="1" x14ac:dyDescent="0.25">
      <c r="A55" s="46"/>
      <c r="B55" s="231"/>
      <c r="C55" s="234"/>
      <c r="D55" s="219"/>
      <c r="E55" s="219"/>
      <c r="F55" s="60" t="s">
        <v>80</v>
      </c>
      <c r="G55" s="61" t="str">
        <f t="shared" ref="G55" si="51">IF(E54&lt;0.125,"NA",IF(0.125&lt;=E54,(0.2*E54)))</f>
        <v>NA</v>
      </c>
      <c r="H55" s="62"/>
      <c r="I55" s="63"/>
      <c r="J55" s="64"/>
      <c r="K55" s="219"/>
      <c r="L55" s="219"/>
      <c r="M55" s="219"/>
      <c r="N55" s="222"/>
      <c r="O55" s="225"/>
      <c r="P55" s="228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s="54" customFormat="1" ht="14.1" customHeight="1" x14ac:dyDescent="0.25">
      <c r="A56" s="46"/>
      <c r="B56" s="231"/>
      <c r="C56" s="234"/>
      <c r="D56" s="219"/>
      <c r="E56" s="219"/>
      <c r="F56" s="60" t="s">
        <v>81</v>
      </c>
      <c r="G56" s="61">
        <f t="shared" ref="G56" si="52">+E54*0.4</f>
        <v>3.56E-2</v>
      </c>
      <c r="H56" s="62"/>
      <c r="I56" s="63"/>
      <c r="J56" s="64">
        <v>0.34100000000000003</v>
      </c>
      <c r="K56" s="219"/>
      <c r="L56" s="219"/>
      <c r="M56" s="219"/>
      <c r="N56" s="222"/>
      <c r="O56" s="225"/>
      <c r="P56" s="228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s="54" customFormat="1" ht="14.1" customHeight="1" x14ac:dyDescent="0.25">
      <c r="A57" s="46"/>
      <c r="B57" s="231"/>
      <c r="C57" s="234"/>
      <c r="D57" s="219"/>
      <c r="E57" s="219"/>
      <c r="F57" s="60" t="s">
        <v>82</v>
      </c>
      <c r="G57" s="61" t="str">
        <f t="shared" ref="G57" si="53">IF(E54&lt;0.125,"NA",IF(0.125&lt;=E54,(0.8*E54)))</f>
        <v>NA</v>
      </c>
      <c r="H57" s="62"/>
      <c r="I57" s="63"/>
      <c r="J57" s="64"/>
      <c r="K57" s="219"/>
      <c r="L57" s="219"/>
      <c r="M57" s="219"/>
      <c r="N57" s="222"/>
      <c r="O57" s="225"/>
      <c r="P57" s="228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s="54" customFormat="1" ht="14.1" customHeight="1" thickBot="1" x14ac:dyDescent="0.3">
      <c r="A58" s="46"/>
      <c r="B58" s="232"/>
      <c r="C58" s="235"/>
      <c r="D58" s="220"/>
      <c r="E58" s="220"/>
      <c r="F58" s="65" t="s">
        <v>83</v>
      </c>
      <c r="G58" s="66">
        <f t="shared" ref="G58" si="54">+E54</f>
        <v>8.8999999999999996E-2</v>
      </c>
      <c r="H58" s="67"/>
      <c r="I58" s="68"/>
      <c r="J58" s="69">
        <v>0.36899999999999999</v>
      </c>
      <c r="K58" s="220"/>
      <c r="L58" s="220"/>
      <c r="M58" s="220"/>
      <c r="N58" s="223"/>
      <c r="O58" s="226"/>
      <c r="P58" s="229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s="54" customFormat="1" ht="14.1" customHeight="1" x14ac:dyDescent="0.25">
      <c r="A59" s="46"/>
      <c r="B59" s="230">
        <v>9</v>
      </c>
      <c r="C59" s="233">
        <f>+C54+$N$12</f>
        <v>7.3999999999999968</v>
      </c>
      <c r="D59" s="218">
        <v>9.8000000000000004E-2</v>
      </c>
      <c r="E59" s="218">
        <v>0.106</v>
      </c>
      <c r="F59" s="55" t="s">
        <v>79</v>
      </c>
      <c r="G59" s="56">
        <v>0</v>
      </c>
      <c r="H59" s="57"/>
      <c r="I59" s="58"/>
      <c r="J59" s="59">
        <v>0.24099999999999999</v>
      </c>
      <c r="K59" s="218">
        <f t="shared" ref="K59" si="55">+IF(E59&lt;=0.12,(J61),(IF(E59&lt;0.16,((J60+2*J61+J62)/4),IF(E59&gt;=0.16,((J59+3*J60+2*J61+3*J62+J63)/10)))))</f>
        <v>0.29699999999999999</v>
      </c>
      <c r="L59" s="218">
        <f t="shared" ref="L59" si="56">ROUND(+(D54+D59)/2*(C59-C54),3)</f>
        <v>0.01</v>
      </c>
      <c r="M59" s="218">
        <f t="shared" ref="M59" si="57">ROUND(+K59*L59,4)</f>
        <v>3.0000000000000001E-3</v>
      </c>
      <c r="N59" s="221">
        <f t="shared" ref="N59" si="58">ROUND(+M59/$M$108*100,2)</f>
        <v>9.17</v>
      </c>
      <c r="O59" s="224"/>
      <c r="P59" s="227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s="54" customFormat="1" ht="14.1" customHeight="1" x14ac:dyDescent="0.25">
      <c r="A60" s="46"/>
      <c r="B60" s="231"/>
      <c r="C60" s="234"/>
      <c r="D60" s="219"/>
      <c r="E60" s="219"/>
      <c r="F60" s="60" t="s">
        <v>80</v>
      </c>
      <c r="G60" s="61" t="str">
        <f t="shared" ref="G60" si="59">IF(E59&lt;0.125,"NA",IF(0.125&lt;=E59,(0.2*E59)))</f>
        <v>NA</v>
      </c>
      <c r="H60" s="62"/>
      <c r="I60" s="63"/>
      <c r="J60" s="64"/>
      <c r="K60" s="219"/>
      <c r="L60" s="219"/>
      <c r="M60" s="219"/>
      <c r="N60" s="222"/>
      <c r="O60" s="225"/>
      <c r="P60" s="228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s="54" customFormat="1" ht="14.1" customHeight="1" x14ac:dyDescent="0.25">
      <c r="A61" s="46"/>
      <c r="B61" s="231"/>
      <c r="C61" s="234"/>
      <c r="D61" s="219"/>
      <c r="E61" s="219"/>
      <c r="F61" s="60" t="s">
        <v>81</v>
      </c>
      <c r="G61" s="61">
        <f t="shared" ref="G61" si="60">+E59*0.4</f>
        <v>4.24E-2</v>
      </c>
      <c r="H61" s="62"/>
      <c r="I61" s="63"/>
      <c r="J61" s="64">
        <v>0.29699999999999999</v>
      </c>
      <c r="K61" s="219"/>
      <c r="L61" s="219"/>
      <c r="M61" s="219"/>
      <c r="N61" s="222"/>
      <c r="O61" s="225"/>
      <c r="P61" s="228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s="54" customFormat="1" ht="14.1" customHeight="1" x14ac:dyDescent="0.25">
      <c r="A62" s="46"/>
      <c r="B62" s="231"/>
      <c r="C62" s="234"/>
      <c r="D62" s="219"/>
      <c r="E62" s="219"/>
      <c r="F62" s="60" t="s">
        <v>82</v>
      </c>
      <c r="G62" s="61" t="str">
        <f t="shared" ref="G62" si="61">IF(E59&lt;0.125,"NA",IF(0.125&lt;=E59,(0.8*E59)))</f>
        <v>NA</v>
      </c>
      <c r="H62" s="62"/>
      <c r="I62" s="63"/>
      <c r="J62" s="64"/>
      <c r="K62" s="219"/>
      <c r="L62" s="219"/>
      <c r="M62" s="219"/>
      <c r="N62" s="222"/>
      <c r="O62" s="225"/>
      <c r="P62" s="228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s="54" customFormat="1" ht="14.1" customHeight="1" thickBot="1" x14ac:dyDescent="0.3">
      <c r="A63" s="46"/>
      <c r="B63" s="232"/>
      <c r="C63" s="235"/>
      <c r="D63" s="220"/>
      <c r="E63" s="220"/>
      <c r="F63" s="65" t="s">
        <v>83</v>
      </c>
      <c r="G63" s="66">
        <f t="shared" ref="G63" si="62">+E59</f>
        <v>0.106</v>
      </c>
      <c r="H63" s="67"/>
      <c r="I63" s="68"/>
      <c r="J63" s="69">
        <v>0.30399999999999999</v>
      </c>
      <c r="K63" s="220"/>
      <c r="L63" s="220"/>
      <c r="M63" s="220"/>
      <c r="N63" s="223"/>
      <c r="O63" s="226"/>
      <c r="P63" s="229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s="54" customFormat="1" ht="14.1" customHeight="1" x14ac:dyDescent="0.25">
      <c r="A64" s="46"/>
      <c r="B64" s="230">
        <v>10</v>
      </c>
      <c r="C64" s="233">
        <f>+C59+$N$12</f>
        <v>7.4999999999999964</v>
      </c>
      <c r="D64" s="218">
        <v>0.108</v>
      </c>
      <c r="E64" s="218">
        <v>9.5000000000000001E-2</v>
      </c>
      <c r="F64" s="55" t="s">
        <v>79</v>
      </c>
      <c r="G64" s="56">
        <v>0</v>
      </c>
      <c r="H64" s="57"/>
      <c r="I64" s="58"/>
      <c r="J64" s="59">
        <v>0.311</v>
      </c>
      <c r="K64" s="218">
        <f t="shared" ref="K64" si="63">+IF(E64&lt;=0.12,(J66),(IF(E64&lt;0.16,((J65+2*J66+J67)/4),IF(E64&gt;=0.16,((J64+3*J65+2*J66+3*J67+J68)/10)))))</f>
        <v>0.312</v>
      </c>
      <c r="L64" s="218">
        <f t="shared" ref="L64" si="64">ROUND(+(D59+D64)/2*(C64-C59),3)</f>
        <v>0.01</v>
      </c>
      <c r="M64" s="218">
        <f t="shared" ref="M64" si="65">ROUND(+K64*L64,4)</f>
        <v>3.0999999999999999E-3</v>
      </c>
      <c r="N64" s="221">
        <f t="shared" ref="N64" si="66">ROUND(+M64/$M$108*100,2)</f>
        <v>9.48</v>
      </c>
      <c r="O64" s="224"/>
      <c r="P64" s="227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s="54" customFormat="1" ht="14.1" customHeight="1" x14ac:dyDescent="0.25">
      <c r="A65" s="46"/>
      <c r="B65" s="231"/>
      <c r="C65" s="234"/>
      <c r="D65" s="219"/>
      <c r="E65" s="219"/>
      <c r="F65" s="60" t="s">
        <v>80</v>
      </c>
      <c r="G65" s="61" t="str">
        <f t="shared" ref="G65" si="67">IF(E64&lt;0.125,"NA",IF(0.125&lt;=E64,(0.2*E64)))</f>
        <v>NA</v>
      </c>
      <c r="H65" s="62"/>
      <c r="I65" s="63"/>
      <c r="J65" s="64"/>
      <c r="K65" s="219"/>
      <c r="L65" s="219"/>
      <c r="M65" s="219"/>
      <c r="N65" s="222"/>
      <c r="O65" s="225"/>
      <c r="P65" s="228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s="54" customFormat="1" ht="14.1" customHeight="1" x14ac:dyDescent="0.25">
      <c r="A66" s="46"/>
      <c r="B66" s="231"/>
      <c r="C66" s="234"/>
      <c r="D66" s="219"/>
      <c r="E66" s="219"/>
      <c r="F66" s="60" t="s">
        <v>81</v>
      </c>
      <c r="G66" s="61">
        <f t="shared" ref="G66" si="68">+E64*0.4</f>
        <v>3.8000000000000006E-2</v>
      </c>
      <c r="H66" s="62"/>
      <c r="I66" s="63"/>
      <c r="J66" s="64">
        <v>0.312</v>
      </c>
      <c r="K66" s="219"/>
      <c r="L66" s="219"/>
      <c r="M66" s="219"/>
      <c r="N66" s="222"/>
      <c r="O66" s="225"/>
      <c r="P66" s="228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s="54" customFormat="1" ht="14.1" customHeight="1" x14ac:dyDescent="0.25">
      <c r="A67" s="46"/>
      <c r="B67" s="231"/>
      <c r="C67" s="234"/>
      <c r="D67" s="219"/>
      <c r="E67" s="219"/>
      <c r="F67" s="60" t="s">
        <v>82</v>
      </c>
      <c r="G67" s="61" t="str">
        <f t="shared" ref="G67" si="69">IF(E64&lt;0.125,"NA",IF(0.125&lt;=E64,(0.8*E64)))</f>
        <v>NA</v>
      </c>
      <c r="H67" s="62"/>
      <c r="I67" s="63"/>
      <c r="J67" s="64"/>
      <c r="K67" s="219"/>
      <c r="L67" s="219"/>
      <c r="M67" s="219"/>
      <c r="N67" s="222"/>
      <c r="O67" s="225"/>
      <c r="P67" s="228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s="54" customFormat="1" ht="14.1" customHeight="1" thickBot="1" x14ac:dyDescent="0.3">
      <c r="A68" s="46"/>
      <c r="B68" s="232"/>
      <c r="C68" s="235"/>
      <c r="D68" s="220"/>
      <c r="E68" s="220"/>
      <c r="F68" s="65" t="s">
        <v>83</v>
      </c>
      <c r="G68" s="66">
        <f t="shared" ref="G68" si="70">+E64</f>
        <v>9.5000000000000001E-2</v>
      </c>
      <c r="H68" s="67"/>
      <c r="I68" s="68"/>
      <c r="J68" s="69">
        <v>0.30499999999999999</v>
      </c>
      <c r="K68" s="220"/>
      <c r="L68" s="220"/>
      <c r="M68" s="220"/>
      <c r="N68" s="223"/>
      <c r="O68" s="226"/>
      <c r="P68" s="229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s="54" customFormat="1" ht="14.1" customHeight="1" x14ac:dyDescent="0.25">
      <c r="A69" s="46"/>
      <c r="B69" s="230">
        <v>11</v>
      </c>
      <c r="C69" s="233">
        <f>+C64+$N$12</f>
        <v>7.5999999999999961</v>
      </c>
      <c r="D69" s="218">
        <v>0.105</v>
      </c>
      <c r="E69" s="218">
        <v>0.104</v>
      </c>
      <c r="F69" s="55" t="s">
        <v>79</v>
      </c>
      <c r="G69" s="56">
        <v>0</v>
      </c>
      <c r="H69" s="57"/>
      <c r="I69" s="58"/>
      <c r="J69" s="59">
        <v>0.27800000000000002</v>
      </c>
      <c r="K69" s="218">
        <f t="shared" ref="K69" si="71">+IF(E69&lt;=0.12,(J71),(IF(E69&lt;0.16,((J70+2*J71+J72)/4),IF(E69&gt;=0.16,((J69+3*J70+2*J71+3*J72+J73)/10)))))</f>
        <v>0.26500000000000001</v>
      </c>
      <c r="L69" s="218">
        <f t="shared" ref="L69" si="72">ROUND(+(D64+D69)/2*(C69-C64),3)</f>
        <v>1.0999999999999999E-2</v>
      </c>
      <c r="M69" s="218">
        <f t="shared" ref="M69" si="73">ROUND(+K69*L69,4)</f>
        <v>2.8999999999999998E-3</v>
      </c>
      <c r="N69" s="221">
        <f t="shared" ref="N69" si="74">ROUND(+M69/$M$108*100,2)</f>
        <v>8.8699999999999992</v>
      </c>
      <c r="O69" s="224"/>
      <c r="P69" s="227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s="54" customFormat="1" ht="14.1" customHeight="1" x14ac:dyDescent="0.25">
      <c r="A70" s="46"/>
      <c r="B70" s="231"/>
      <c r="C70" s="234"/>
      <c r="D70" s="219"/>
      <c r="E70" s="219"/>
      <c r="F70" s="60" t="s">
        <v>80</v>
      </c>
      <c r="G70" s="61" t="str">
        <f t="shared" ref="G70" si="75">IF(E69&lt;0.125,"NA",IF(0.125&lt;=E69,(0.2*E69)))</f>
        <v>NA</v>
      </c>
      <c r="H70" s="62"/>
      <c r="I70" s="63"/>
      <c r="J70" s="64"/>
      <c r="K70" s="219"/>
      <c r="L70" s="219"/>
      <c r="M70" s="219"/>
      <c r="N70" s="222"/>
      <c r="O70" s="225"/>
      <c r="P70" s="228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s="54" customFormat="1" ht="14.1" customHeight="1" x14ac:dyDescent="0.25">
      <c r="A71" s="46"/>
      <c r="B71" s="231"/>
      <c r="C71" s="234"/>
      <c r="D71" s="219"/>
      <c r="E71" s="219"/>
      <c r="F71" s="60" t="s">
        <v>81</v>
      </c>
      <c r="G71" s="61">
        <f t="shared" ref="G71" si="76">+E69*0.4</f>
        <v>4.1599999999999998E-2</v>
      </c>
      <c r="H71" s="62"/>
      <c r="I71" s="63"/>
      <c r="J71" s="64">
        <v>0.26500000000000001</v>
      </c>
      <c r="K71" s="219"/>
      <c r="L71" s="219"/>
      <c r="M71" s="219"/>
      <c r="N71" s="222"/>
      <c r="O71" s="225"/>
      <c r="P71" s="228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s="54" customFormat="1" ht="14.1" customHeight="1" x14ac:dyDescent="0.25">
      <c r="A72" s="46"/>
      <c r="B72" s="231"/>
      <c r="C72" s="234"/>
      <c r="D72" s="219"/>
      <c r="E72" s="219"/>
      <c r="F72" s="60" t="s">
        <v>82</v>
      </c>
      <c r="G72" s="61" t="str">
        <f t="shared" ref="G72" si="77">IF(E69&lt;0.125,"NA",IF(0.125&lt;=E69,(0.8*E69)))</f>
        <v>NA</v>
      </c>
      <c r="H72" s="62"/>
      <c r="I72" s="63"/>
      <c r="J72" s="64"/>
      <c r="K72" s="219"/>
      <c r="L72" s="219"/>
      <c r="M72" s="219"/>
      <c r="N72" s="222"/>
      <c r="O72" s="225"/>
      <c r="P72" s="228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s="54" customFormat="1" ht="14.1" customHeight="1" thickBot="1" x14ac:dyDescent="0.3">
      <c r="A73" s="46"/>
      <c r="B73" s="232"/>
      <c r="C73" s="235"/>
      <c r="D73" s="220"/>
      <c r="E73" s="220"/>
      <c r="F73" s="65" t="s">
        <v>83</v>
      </c>
      <c r="G73" s="66">
        <f t="shared" ref="G73" si="78">+E69</f>
        <v>0.104</v>
      </c>
      <c r="H73" s="67"/>
      <c r="I73" s="68"/>
      <c r="J73" s="69">
        <v>0.307</v>
      </c>
      <c r="K73" s="220"/>
      <c r="L73" s="220"/>
      <c r="M73" s="220"/>
      <c r="N73" s="223"/>
      <c r="O73" s="226"/>
      <c r="P73" s="229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s="54" customFormat="1" ht="14.1" customHeight="1" x14ac:dyDescent="0.25">
      <c r="A74" s="46"/>
      <c r="B74" s="230">
        <v>12</v>
      </c>
      <c r="C74" s="233">
        <f>+C69+$N$12</f>
        <v>7.6999999999999957</v>
      </c>
      <c r="D74" s="218">
        <v>0.1</v>
      </c>
      <c r="E74" s="218">
        <v>0.09</v>
      </c>
      <c r="F74" s="55" t="s">
        <v>79</v>
      </c>
      <c r="G74" s="56">
        <v>0</v>
      </c>
      <c r="H74" s="57"/>
      <c r="I74" s="58"/>
      <c r="J74" s="59">
        <v>0.23699999999999999</v>
      </c>
      <c r="K74" s="218">
        <f t="shared" ref="K74" si="79">+IF(E74&lt;=0.12,(J76),(IF(E74&lt;0.16,((J75+2*J76+J77)/4),IF(E74&gt;=0.16,((J74+3*J75+2*J76+3*J77+J78)/10)))))</f>
        <v>0.29099999999999998</v>
      </c>
      <c r="L74" s="218">
        <f t="shared" ref="L74" si="80">ROUND(+(D69+D74)/2*(C74-C69),3)</f>
        <v>0.01</v>
      </c>
      <c r="M74" s="218">
        <f t="shared" ref="M74" si="81">ROUND(+K74*L74,4)</f>
        <v>2.8999999999999998E-3</v>
      </c>
      <c r="N74" s="221">
        <f t="shared" ref="N74" si="82">ROUND(+M74/$M$108*100,2)</f>
        <v>8.8699999999999992</v>
      </c>
      <c r="O74" s="224"/>
      <c r="P74" s="227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s="54" customFormat="1" ht="14.1" customHeight="1" x14ac:dyDescent="0.25">
      <c r="A75" s="46"/>
      <c r="B75" s="231"/>
      <c r="C75" s="234"/>
      <c r="D75" s="219"/>
      <c r="E75" s="219"/>
      <c r="F75" s="60" t="s">
        <v>80</v>
      </c>
      <c r="G75" s="61" t="str">
        <f t="shared" ref="G75" si="83">IF(E74&lt;0.125,"NA",IF(0.125&lt;=E74,(0.2*E74)))</f>
        <v>NA</v>
      </c>
      <c r="H75" s="62"/>
      <c r="I75" s="63"/>
      <c r="J75" s="64"/>
      <c r="K75" s="219"/>
      <c r="L75" s="219"/>
      <c r="M75" s="219"/>
      <c r="N75" s="222"/>
      <c r="O75" s="225"/>
      <c r="P75" s="228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s="54" customFormat="1" ht="14.1" customHeight="1" x14ac:dyDescent="0.25">
      <c r="A76" s="46"/>
      <c r="B76" s="231"/>
      <c r="C76" s="234"/>
      <c r="D76" s="219"/>
      <c r="E76" s="219"/>
      <c r="F76" s="60" t="s">
        <v>81</v>
      </c>
      <c r="G76" s="61">
        <f t="shared" ref="G76" si="84">+E74*0.4</f>
        <v>3.5999999999999997E-2</v>
      </c>
      <c r="H76" s="62"/>
      <c r="I76" s="63"/>
      <c r="J76" s="64">
        <v>0.29099999999999998</v>
      </c>
      <c r="K76" s="219"/>
      <c r="L76" s="219"/>
      <c r="M76" s="219"/>
      <c r="N76" s="222"/>
      <c r="O76" s="225"/>
      <c r="P76" s="228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s="54" customFormat="1" ht="14.1" customHeight="1" x14ac:dyDescent="0.25">
      <c r="A77" s="46"/>
      <c r="B77" s="231"/>
      <c r="C77" s="234"/>
      <c r="D77" s="219"/>
      <c r="E77" s="219"/>
      <c r="F77" s="60" t="s">
        <v>82</v>
      </c>
      <c r="G77" s="61" t="str">
        <f t="shared" ref="G77" si="85">IF(E74&lt;0.125,"NA",IF(0.125&lt;=E74,(0.8*E74)))</f>
        <v>NA</v>
      </c>
      <c r="H77" s="62"/>
      <c r="I77" s="63"/>
      <c r="J77" s="64"/>
      <c r="K77" s="219"/>
      <c r="L77" s="219"/>
      <c r="M77" s="219"/>
      <c r="N77" s="222"/>
      <c r="O77" s="225"/>
      <c r="P77" s="228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s="54" customFormat="1" ht="14.1" customHeight="1" thickBot="1" x14ac:dyDescent="0.3">
      <c r="A78" s="46"/>
      <c r="B78" s="232"/>
      <c r="C78" s="235"/>
      <c r="D78" s="220"/>
      <c r="E78" s="220"/>
      <c r="F78" s="65" t="s">
        <v>83</v>
      </c>
      <c r="G78" s="66">
        <f t="shared" ref="G78" si="86">+E74</f>
        <v>0.09</v>
      </c>
      <c r="H78" s="67"/>
      <c r="I78" s="68"/>
      <c r="J78" s="69">
        <v>0.32700000000000001</v>
      </c>
      <c r="K78" s="220"/>
      <c r="L78" s="220"/>
      <c r="M78" s="220"/>
      <c r="N78" s="223"/>
      <c r="O78" s="226"/>
      <c r="P78" s="229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s="54" customFormat="1" ht="14.1" customHeight="1" x14ac:dyDescent="0.25">
      <c r="A79" s="46"/>
      <c r="B79" s="230">
        <v>13</v>
      </c>
      <c r="C79" s="233">
        <f>+C74+$N$12</f>
        <v>7.7999999999999954</v>
      </c>
      <c r="D79" s="218">
        <v>0.10100000000000001</v>
      </c>
      <c r="E79" s="218">
        <v>0.10100000000000001</v>
      </c>
      <c r="F79" s="55" t="s">
        <v>79</v>
      </c>
      <c r="G79" s="56">
        <v>0</v>
      </c>
      <c r="H79" s="57"/>
      <c r="I79" s="58"/>
      <c r="J79" s="59">
        <v>0.21299999999999999</v>
      </c>
      <c r="K79" s="218">
        <f t="shared" ref="K79" si="87">+IF(E79&lt;=0.12,(J81),(IF(E79&lt;0.16,((J80+2*J81+J82)/4),IF(E79&gt;=0.16,((J79+3*J80+2*J81+3*J82+J83)/10)))))</f>
        <v>0.245</v>
      </c>
      <c r="L79" s="218">
        <f t="shared" ref="L79" si="88">ROUND(+(D74+D79)/2*(C79-C74),3)</f>
        <v>0.01</v>
      </c>
      <c r="M79" s="218">
        <f t="shared" ref="M79" si="89">ROUND(+K79*L79,4)</f>
        <v>2.5000000000000001E-3</v>
      </c>
      <c r="N79" s="221">
        <f t="shared" ref="N79" si="90">ROUND(+M79/$M$108*100,2)</f>
        <v>7.65</v>
      </c>
      <c r="O79" s="224"/>
      <c r="P79" s="227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s="54" customFormat="1" ht="14.1" customHeight="1" x14ac:dyDescent="0.25">
      <c r="A80" s="46"/>
      <c r="B80" s="231"/>
      <c r="C80" s="234"/>
      <c r="D80" s="219"/>
      <c r="E80" s="219"/>
      <c r="F80" s="60" t="s">
        <v>80</v>
      </c>
      <c r="G80" s="61" t="str">
        <f t="shared" ref="G80" si="91">IF(E79&lt;0.125,"NA",IF(0.125&lt;=E79,(0.2*E79)))</f>
        <v>NA</v>
      </c>
      <c r="H80" s="62"/>
      <c r="I80" s="63"/>
      <c r="J80" s="64"/>
      <c r="K80" s="219"/>
      <c r="L80" s="219"/>
      <c r="M80" s="219"/>
      <c r="N80" s="222"/>
      <c r="O80" s="225"/>
      <c r="P80" s="228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s="54" customFormat="1" ht="14.1" customHeight="1" x14ac:dyDescent="0.25">
      <c r="A81" s="46"/>
      <c r="B81" s="231"/>
      <c r="C81" s="234"/>
      <c r="D81" s="219"/>
      <c r="E81" s="219"/>
      <c r="F81" s="60" t="s">
        <v>81</v>
      </c>
      <c r="G81" s="61">
        <f t="shared" ref="G81" si="92">+E79*0.4</f>
        <v>4.0400000000000005E-2</v>
      </c>
      <c r="H81" s="62"/>
      <c r="I81" s="63"/>
      <c r="J81" s="64">
        <v>0.245</v>
      </c>
      <c r="K81" s="219"/>
      <c r="L81" s="219"/>
      <c r="M81" s="219"/>
      <c r="N81" s="222"/>
      <c r="O81" s="225"/>
      <c r="P81" s="228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s="54" customFormat="1" ht="14.1" customHeight="1" x14ac:dyDescent="0.25">
      <c r="A82" s="46"/>
      <c r="B82" s="231"/>
      <c r="C82" s="234"/>
      <c r="D82" s="219"/>
      <c r="E82" s="219"/>
      <c r="F82" s="60" t="s">
        <v>82</v>
      </c>
      <c r="G82" s="61" t="str">
        <f t="shared" ref="G82" si="93">IF(E79&lt;0.125,"NA",IF(0.125&lt;=E79,(0.8*E79)))</f>
        <v>NA</v>
      </c>
      <c r="H82" s="62"/>
      <c r="I82" s="63"/>
      <c r="J82" s="64"/>
      <c r="K82" s="219"/>
      <c r="L82" s="219"/>
      <c r="M82" s="219"/>
      <c r="N82" s="222"/>
      <c r="O82" s="225"/>
      <c r="P82" s="228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s="54" customFormat="1" ht="14.1" customHeight="1" thickBot="1" x14ac:dyDescent="0.3">
      <c r="A83" s="46"/>
      <c r="B83" s="232"/>
      <c r="C83" s="235"/>
      <c r="D83" s="220"/>
      <c r="E83" s="220"/>
      <c r="F83" s="65" t="s">
        <v>83</v>
      </c>
      <c r="G83" s="66">
        <f t="shared" ref="G83" si="94">+E79</f>
        <v>0.10100000000000001</v>
      </c>
      <c r="H83" s="67"/>
      <c r="I83" s="68"/>
      <c r="J83" s="69">
        <v>0.28499999999999998</v>
      </c>
      <c r="K83" s="220"/>
      <c r="L83" s="220"/>
      <c r="M83" s="220"/>
      <c r="N83" s="223"/>
      <c r="O83" s="226"/>
      <c r="P83" s="229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s="54" customFormat="1" ht="14.1" customHeight="1" x14ac:dyDescent="0.25">
      <c r="A84" s="46"/>
      <c r="B84" s="230">
        <v>14</v>
      </c>
      <c r="C84" s="233">
        <f>+C79+0.15</f>
        <v>7.9499999999999957</v>
      </c>
      <c r="D84" s="218">
        <v>2.8000000000000001E-2</v>
      </c>
      <c r="E84" s="218">
        <v>0.10299999999999999</v>
      </c>
      <c r="F84" s="55" t="s">
        <v>79</v>
      </c>
      <c r="G84" s="56">
        <v>0</v>
      </c>
      <c r="H84" s="57"/>
      <c r="I84" s="58"/>
      <c r="J84" s="59">
        <v>0.24199999999999999</v>
      </c>
      <c r="K84" s="218">
        <f t="shared" ref="K84" si="95">+IF(E84&lt;=0.12,(J86),(IF(E84&lt;0.16,((J85+2*J86+J87)/4),IF(E84&gt;=0.16,((J84+3*J85+2*J86+3*J87+J88)/10)))))</f>
        <v>0.248</v>
      </c>
      <c r="L84" s="218">
        <f t="shared" ref="L84" si="96">ROUND(+(D79+D84)/2*(C84-C79),3)</f>
        <v>0.01</v>
      </c>
      <c r="M84" s="218">
        <f t="shared" ref="M84" si="97">ROUND(+K84*L84,4)</f>
        <v>2.5000000000000001E-3</v>
      </c>
      <c r="N84" s="221">
        <f t="shared" ref="N84" si="98">ROUND(+M84/$M$108*100,2)</f>
        <v>7.65</v>
      </c>
      <c r="O84" s="224"/>
      <c r="P84" s="227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s="54" customFormat="1" ht="14.1" customHeight="1" x14ac:dyDescent="0.25">
      <c r="A85" s="46"/>
      <c r="B85" s="231"/>
      <c r="C85" s="234"/>
      <c r="D85" s="219"/>
      <c r="E85" s="219"/>
      <c r="F85" s="60" t="s">
        <v>80</v>
      </c>
      <c r="G85" s="61" t="str">
        <f t="shared" ref="G85" si="99">IF(E84&lt;0.125,"NA",IF(0.125&lt;=E84,(0.2*E84)))</f>
        <v>NA</v>
      </c>
      <c r="H85" s="62"/>
      <c r="I85" s="63"/>
      <c r="J85" s="64"/>
      <c r="K85" s="219"/>
      <c r="L85" s="219"/>
      <c r="M85" s="219"/>
      <c r="N85" s="222"/>
      <c r="O85" s="225"/>
      <c r="P85" s="228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s="54" customFormat="1" ht="14.1" customHeight="1" x14ac:dyDescent="0.25">
      <c r="A86" s="46"/>
      <c r="B86" s="231"/>
      <c r="C86" s="234"/>
      <c r="D86" s="219"/>
      <c r="E86" s="219"/>
      <c r="F86" s="60" t="s">
        <v>81</v>
      </c>
      <c r="G86" s="61">
        <f t="shared" ref="G86" si="100">+E84*0.4</f>
        <v>4.1200000000000001E-2</v>
      </c>
      <c r="H86" s="62"/>
      <c r="I86" s="63"/>
      <c r="J86" s="64">
        <v>0.248</v>
      </c>
      <c r="K86" s="219"/>
      <c r="L86" s="219"/>
      <c r="M86" s="219"/>
      <c r="N86" s="222"/>
      <c r="O86" s="225"/>
      <c r="P86" s="228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s="54" customFormat="1" ht="14.1" customHeight="1" x14ac:dyDescent="0.25">
      <c r="A87" s="46"/>
      <c r="B87" s="231"/>
      <c r="C87" s="234"/>
      <c r="D87" s="219"/>
      <c r="E87" s="219"/>
      <c r="F87" s="60" t="s">
        <v>82</v>
      </c>
      <c r="G87" s="61" t="str">
        <f t="shared" ref="G87" si="101">IF(E84&lt;0.125,"NA",IF(0.125&lt;=E84,(0.8*E84)))</f>
        <v>NA</v>
      </c>
      <c r="H87" s="62"/>
      <c r="I87" s="63"/>
      <c r="J87" s="64"/>
      <c r="K87" s="219"/>
      <c r="L87" s="219"/>
      <c r="M87" s="219"/>
      <c r="N87" s="222"/>
      <c r="O87" s="225"/>
      <c r="P87" s="228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s="54" customFormat="1" ht="13.9" customHeight="1" thickBot="1" x14ac:dyDescent="0.3">
      <c r="A88" s="46"/>
      <c r="B88" s="232"/>
      <c r="C88" s="248"/>
      <c r="D88" s="220"/>
      <c r="E88" s="220"/>
      <c r="F88" s="65" t="s">
        <v>83</v>
      </c>
      <c r="G88" s="66">
        <f t="shared" ref="G88" si="102">+E84</f>
        <v>0.10299999999999999</v>
      </c>
      <c r="H88" s="67"/>
      <c r="I88" s="68"/>
      <c r="J88" s="69">
        <v>0.23599999999999999</v>
      </c>
      <c r="K88" s="220"/>
      <c r="L88" s="220"/>
      <c r="M88" s="220"/>
      <c r="N88" s="223"/>
      <c r="O88" s="226"/>
      <c r="P88" s="229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s="3" customFormat="1" ht="13.9" customHeight="1" x14ac:dyDescent="0.2">
      <c r="B89" s="236" t="s">
        <v>28</v>
      </c>
      <c r="C89" s="239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1"/>
    </row>
    <row r="90" spans="1:26" s="3" customFormat="1" ht="14.1" customHeight="1" x14ac:dyDescent="0.2">
      <c r="B90" s="237"/>
      <c r="C90" s="242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4"/>
    </row>
    <row r="91" spans="1:26" s="3" customFormat="1" ht="14.1" customHeight="1" x14ac:dyDescent="0.2">
      <c r="B91" s="237"/>
      <c r="C91" s="242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4"/>
    </row>
    <row r="92" spans="1:26" s="3" customFormat="1" ht="14.1" customHeight="1" x14ac:dyDescent="0.2">
      <c r="B92" s="237"/>
      <c r="C92" s="242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4"/>
    </row>
    <row r="93" spans="1:26" s="3" customFormat="1" ht="14.1" customHeight="1" x14ac:dyDescent="0.2">
      <c r="B93" s="237"/>
      <c r="C93" s="242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4"/>
    </row>
    <row r="94" spans="1:26" s="3" customFormat="1" ht="14.1" customHeight="1" thickBot="1" x14ac:dyDescent="0.25">
      <c r="B94" s="238"/>
      <c r="C94" s="245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7"/>
    </row>
    <row r="95" spans="1:26" s="3" customFormat="1" ht="28.5" customHeight="1" thickBot="1" x14ac:dyDescent="0.25">
      <c r="A95" s="70"/>
      <c r="B95" s="71" t="s">
        <v>84</v>
      </c>
      <c r="C95" s="249" t="s">
        <v>85</v>
      </c>
      <c r="D95" s="249"/>
      <c r="E95" s="249"/>
      <c r="F95" s="249"/>
      <c r="G95" s="249"/>
      <c r="H95" s="250"/>
      <c r="I95" s="251"/>
      <c r="J95" s="71" t="s">
        <v>86</v>
      </c>
      <c r="K95" s="249" t="s">
        <v>87</v>
      </c>
      <c r="L95" s="249"/>
      <c r="M95" s="249"/>
      <c r="N95" s="249"/>
      <c r="O95" s="249"/>
      <c r="P95" s="250"/>
    </row>
    <row r="96" spans="1:26" s="3" customFormat="1" ht="28.5" customHeight="1" thickBot="1" x14ac:dyDescent="0.25">
      <c r="B96" s="72" t="s">
        <v>88</v>
      </c>
      <c r="C96" s="253" t="s">
        <v>89</v>
      </c>
      <c r="D96" s="253"/>
      <c r="E96" s="253"/>
      <c r="F96" s="253"/>
      <c r="G96" s="253"/>
      <c r="H96" s="254"/>
      <c r="I96" s="252"/>
      <c r="J96" s="72" t="s">
        <v>90</v>
      </c>
      <c r="K96" s="253" t="s">
        <v>91</v>
      </c>
      <c r="L96" s="253"/>
      <c r="M96" s="253"/>
      <c r="N96" s="253"/>
      <c r="O96" s="253"/>
      <c r="P96" s="254"/>
    </row>
    <row r="97" spans="1:26" s="19" customFormat="1" ht="13.5" customHeight="1" x14ac:dyDescent="0.25">
      <c r="A97" s="73"/>
      <c r="B97" s="255"/>
      <c r="C97" s="258"/>
      <c r="D97" s="261"/>
      <c r="E97" s="261"/>
      <c r="F97" s="74" t="s">
        <v>79</v>
      </c>
      <c r="G97" s="74">
        <v>0.01</v>
      </c>
      <c r="H97" s="75"/>
      <c r="I97" s="76"/>
      <c r="J97" s="77"/>
      <c r="K97" s="263"/>
      <c r="L97" s="276"/>
      <c r="M97" s="277"/>
      <c r="N97" s="276"/>
      <c r="O97" s="276"/>
      <c r="P97" s="2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s="19" customFormat="1" ht="13.5" customHeight="1" x14ac:dyDescent="0.25">
      <c r="A98" s="73"/>
      <c r="B98" s="256"/>
      <c r="C98" s="259"/>
      <c r="D98" s="259"/>
      <c r="E98" s="259"/>
      <c r="F98" s="79" t="s">
        <v>92</v>
      </c>
      <c r="G98" s="80">
        <f>+E97*0.1</f>
        <v>0</v>
      </c>
      <c r="H98" s="81"/>
      <c r="I98" s="82"/>
      <c r="J98" s="83"/>
      <c r="K98" s="259"/>
      <c r="L98" s="259"/>
      <c r="M98" s="259"/>
      <c r="N98" s="259"/>
      <c r="O98" s="259"/>
      <c r="P98" s="279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s="19" customFormat="1" ht="13.5" customHeight="1" x14ac:dyDescent="0.25">
      <c r="A99" s="73"/>
      <c r="B99" s="256"/>
      <c r="C99" s="259"/>
      <c r="D99" s="259"/>
      <c r="E99" s="259"/>
      <c r="F99" s="79" t="s">
        <v>93</v>
      </c>
      <c r="G99" s="80">
        <f>+E97*0.2</f>
        <v>0</v>
      </c>
      <c r="H99" s="81"/>
      <c r="I99" s="82"/>
      <c r="J99" s="83"/>
      <c r="K99" s="259"/>
      <c r="L99" s="259"/>
      <c r="M99" s="259"/>
      <c r="N99" s="259"/>
      <c r="O99" s="259"/>
      <c r="P99" s="279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s="19" customFormat="1" ht="13.5" customHeight="1" x14ac:dyDescent="0.25">
      <c r="A100" s="73"/>
      <c r="B100" s="256"/>
      <c r="C100" s="259"/>
      <c r="D100" s="259"/>
      <c r="E100" s="259"/>
      <c r="F100" s="79" t="s">
        <v>94</v>
      </c>
      <c r="G100" s="80">
        <f>+E97*0.3</f>
        <v>0</v>
      </c>
      <c r="H100" s="81"/>
      <c r="I100" s="82"/>
      <c r="J100" s="83"/>
      <c r="K100" s="259"/>
      <c r="L100" s="259"/>
      <c r="M100" s="259"/>
      <c r="N100" s="259"/>
      <c r="O100" s="259"/>
      <c r="P100" s="279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s="19" customFormat="1" ht="13.5" customHeight="1" x14ac:dyDescent="0.25">
      <c r="A101" s="73"/>
      <c r="B101" s="256"/>
      <c r="C101" s="260"/>
      <c r="D101" s="260"/>
      <c r="E101" s="259"/>
      <c r="F101" s="79" t="s">
        <v>95</v>
      </c>
      <c r="G101" s="80">
        <f>+E97*0.4</f>
        <v>0</v>
      </c>
      <c r="H101" s="81"/>
      <c r="I101" s="82"/>
      <c r="J101" s="83"/>
      <c r="K101" s="259"/>
      <c r="L101" s="259"/>
      <c r="M101" s="259"/>
      <c r="N101" s="259"/>
      <c r="O101" s="259"/>
      <c r="P101" s="279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s="19" customFormat="1" ht="13.5" customHeight="1" x14ac:dyDescent="0.25">
      <c r="A102" s="73"/>
      <c r="B102" s="256"/>
      <c r="C102" s="281"/>
      <c r="D102" s="282"/>
      <c r="E102" s="259"/>
      <c r="F102" s="79" t="s">
        <v>29</v>
      </c>
      <c r="G102" s="80">
        <f>+E97*0.5</f>
        <v>0</v>
      </c>
      <c r="H102" s="81"/>
      <c r="I102" s="82"/>
      <c r="J102" s="83"/>
      <c r="K102" s="259"/>
      <c r="L102" s="259"/>
      <c r="M102" s="259"/>
      <c r="N102" s="259"/>
      <c r="O102" s="259"/>
      <c r="P102" s="279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s="19" customFormat="1" ht="13.5" customHeight="1" x14ac:dyDescent="0.25">
      <c r="A103" s="73"/>
      <c r="B103" s="256"/>
      <c r="C103" s="259"/>
      <c r="D103" s="259"/>
      <c r="E103" s="259"/>
      <c r="F103" s="79" t="s">
        <v>96</v>
      </c>
      <c r="G103" s="80">
        <f>+E97*0.6</f>
        <v>0</v>
      </c>
      <c r="H103" s="81"/>
      <c r="I103" s="82"/>
      <c r="J103" s="83"/>
      <c r="K103" s="259"/>
      <c r="L103" s="259"/>
      <c r="M103" s="259"/>
      <c r="N103" s="259"/>
      <c r="O103" s="259"/>
      <c r="P103" s="279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s="19" customFormat="1" ht="13.5" customHeight="1" x14ac:dyDescent="0.25">
      <c r="A104" s="73"/>
      <c r="B104" s="256"/>
      <c r="C104" s="259"/>
      <c r="D104" s="259"/>
      <c r="E104" s="259"/>
      <c r="F104" s="79" t="s">
        <v>97</v>
      </c>
      <c r="G104" s="80">
        <f>+E97*0.7</f>
        <v>0</v>
      </c>
      <c r="H104" s="81"/>
      <c r="I104" s="82"/>
      <c r="J104" s="83"/>
      <c r="K104" s="259"/>
      <c r="L104" s="259"/>
      <c r="M104" s="259"/>
      <c r="N104" s="259"/>
      <c r="O104" s="259"/>
      <c r="P104" s="279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s="19" customFormat="1" ht="13.5" customHeight="1" x14ac:dyDescent="0.25">
      <c r="A105" s="73"/>
      <c r="B105" s="256"/>
      <c r="C105" s="259"/>
      <c r="D105" s="259"/>
      <c r="E105" s="259"/>
      <c r="F105" s="79" t="s">
        <v>98</v>
      </c>
      <c r="G105" s="80">
        <f>+E97*0.8</f>
        <v>0</v>
      </c>
      <c r="H105" s="81"/>
      <c r="I105" s="82"/>
      <c r="J105" s="83"/>
      <c r="K105" s="259"/>
      <c r="L105" s="259"/>
      <c r="M105" s="259"/>
      <c r="N105" s="259"/>
      <c r="O105" s="259"/>
      <c r="P105" s="279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s="19" customFormat="1" ht="13.5" customHeight="1" x14ac:dyDescent="0.25">
      <c r="A106" s="73"/>
      <c r="B106" s="256"/>
      <c r="C106" s="259"/>
      <c r="D106" s="259"/>
      <c r="E106" s="259"/>
      <c r="F106" s="79" t="s">
        <v>99</v>
      </c>
      <c r="G106" s="80">
        <f>+E97*0.9</f>
        <v>0</v>
      </c>
      <c r="H106" s="81"/>
      <c r="I106" s="82"/>
      <c r="J106" s="83"/>
      <c r="K106" s="259"/>
      <c r="L106" s="259"/>
      <c r="M106" s="259"/>
      <c r="N106" s="259"/>
      <c r="O106" s="259"/>
      <c r="P106" s="279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s="19" customFormat="1" ht="15.75" thickBot="1" x14ac:dyDescent="0.3">
      <c r="A107" s="73"/>
      <c r="B107" s="257"/>
      <c r="C107" s="262"/>
      <c r="D107" s="262"/>
      <c r="E107" s="262"/>
      <c r="F107" s="84" t="s">
        <v>30</v>
      </c>
      <c r="G107" s="84">
        <f>+E97</f>
        <v>0</v>
      </c>
      <c r="H107" s="85"/>
      <c r="I107" s="86"/>
      <c r="J107" s="87"/>
      <c r="K107" s="262"/>
      <c r="L107" s="262"/>
      <c r="M107" s="262"/>
      <c r="N107" s="262"/>
      <c r="O107" s="262"/>
      <c r="P107" s="280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s="3" customFormat="1" ht="12.75" x14ac:dyDescent="0.2">
      <c r="A108" s="11"/>
      <c r="B108" s="264" t="s">
        <v>31</v>
      </c>
      <c r="C108" s="264"/>
      <c r="D108" s="264"/>
      <c r="E108" s="264"/>
      <c r="F108" s="264"/>
      <c r="G108" s="264"/>
      <c r="H108" s="264"/>
      <c r="I108" s="264"/>
      <c r="J108" s="264"/>
      <c r="K108" s="16">
        <f>ROUND(+M108/L108,3)</f>
        <v>0.26200000000000001</v>
      </c>
      <c r="L108" s="15">
        <f>SUM(L19:L107)</f>
        <v>0.12499999999999997</v>
      </c>
      <c r="M108" s="14">
        <f>SUM(M19:M107)</f>
        <v>3.27E-2</v>
      </c>
      <c r="N108" s="12">
        <f>ROUND(SUM(N19:N107),0)</f>
        <v>100</v>
      </c>
      <c r="O108" s="266" t="s">
        <v>32</v>
      </c>
      <c r="P108" s="268"/>
    </row>
    <row r="109" spans="1:26" s="3" customFormat="1" ht="15" customHeight="1" thickBot="1" x14ac:dyDescent="0.25">
      <c r="A109" s="11"/>
      <c r="B109" s="265"/>
      <c r="C109" s="265"/>
      <c r="D109" s="265"/>
      <c r="E109" s="265"/>
      <c r="F109" s="265"/>
      <c r="G109" s="265"/>
      <c r="H109" s="265"/>
      <c r="I109" s="265"/>
      <c r="J109" s="265"/>
      <c r="K109" s="13" t="s">
        <v>33</v>
      </c>
      <c r="L109" s="13" t="s">
        <v>49</v>
      </c>
      <c r="M109" s="13" t="s">
        <v>106</v>
      </c>
      <c r="N109" s="13" t="s">
        <v>34</v>
      </c>
      <c r="O109" s="267"/>
      <c r="P109" s="269"/>
    </row>
    <row r="110" spans="1:26" ht="15" customHeight="1" thickBot="1" x14ac:dyDescent="0.3">
      <c r="A110" s="5"/>
      <c r="B110" s="270" t="s">
        <v>100</v>
      </c>
      <c r="C110" s="271"/>
      <c r="D110" s="271"/>
      <c r="E110" s="271"/>
      <c r="F110" s="272"/>
      <c r="G110" s="270" t="s">
        <v>101</v>
      </c>
      <c r="H110" s="271"/>
      <c r="I110" s="271"/>
      <c r="J110" s="271"/>
      <c r="K110" s="272"/>
      <c r="L110" s="273" t="s">
        <v>51</v>
      </c>
      <c r="M110" s="274"/>
      <c r="N110" s="274"/>
      <c r="O110" s="274"/>
      <c r="P110" s="275"/>
    </row>
    <row r="111" spans="1:26" ht="15" customHeight="1" x14ac:dyDescent="0.25">
      <c r="A111" s="5"/>
      <c r="B111" s="283"/>
      <c r="C111" s="284"/>
      <c r="D111" s="284"/>
      <c r="E111" s="284"/>
      <c r="F111" s="285"/>
      <c r="G111" s="283"/>
      <c r="H111" s="284"/>
      <c r="I111" s="284"/>
      <c r="J111" s="284"/>
      <c r="K111" s="285"/>
      <c r="L111" s="292" t="s">
        <v>102</v>
      </c>
      <c r="M111" s="293"/>
      <c r="N111" s="293"/>
      <c r="O111" s="294">
        <f>+AVERAGE(E18:E88)</f>
        <v>8.8857142857142857E-2</v>
      </c>
      <c r="P111" s="295"/>
    </row>
    <row r="112" spans="1:26" ht="15" customHeight="1" thickBot="1" x14ac:dyDescent="0.3">
      <c r="A112" s="5"/>
      <c r="B112" s="286"/>
      <c r="C112" s="287"/>
      <c r="D112" s="287"/>
      <c r="E112" s="287"/>
      <c r="F112" s="288"/>
      <c r="G112" s="286"/>
      <c r="H112" s="287"/>
      <c r="I112" s="287"/>
      <c r="J112" s="287"/>
      <c r="K112" s="288"/>
      <c r="L112" s="296" t="s">
        <v>103</v>
      </c>
      <c r="M112" s="297"/>
      <c r="N112" s="297"/>
      <c r="O112" s="298">
        <f>MAX(E18:E88)</f>
        <v>0.106</v>
      </c>
      <c r="P112" s="299"/>
    </row>
    <row r="113" spans="1:18" ht="18.600000000000001" customHeight="1" x14ac:dyDescent="0.25">
      <c r="A113" s="6"/>
      <c r="B113" s="286"/>
      <c r="C113" s="287"/>
      <c r="D113" s="287"/>
      <c r="E113" s="287"/>
      <c r="F113" s="288"/>
      <c r="G113" s="286"/>
      <c r="H113" s="287"/>
      <c r="I113" s="287"/>
      <c r="J113" s="287"/>
      <c r="K113" s="288"/>
      <c r="L113" s="300" t="s">
        <v>115</v>
      </c>
      <c r="M113" s="301"/>
      <c r="N113" s="301"/>
      <c r="O113" s="301"/>
      <c r="P113" s="302"/>
    </row>
    <row r="114" spans="1:18" ht="42" customHeight="1" x14ac:dyDescent="0.25">
      <c r="A114" s="10"/>
      <c r="B114" s="286"/>
      <c r="C114" s="287"/>
      <c r="D114" s="287"/>
      <c r="E114" s="287"/>
      <c r="F114" s="288"/>
      <c r="G114" s="286"/>
      <c r="H114" s="287"/>
      <c r="I114" s="287"/>
      <c r="J114" s="287"/>
      <c r="K114" s="288"/>
      <c r="L114" s="303"/>
      <c r="M114" s="304"/>
      <c r="N114" s="304"/>
      <c r="O114" s="304"/>
      <c r="P114" s="305"/>
    </row>
    <row r="115" spans="1:18" ht="15" customHeight="1" thickBot="1" x14ac:dyDescent="0.3">
      <c r="A115" s="5"/>
      <c r="B115" s="286"/>
      <c r="C115" s="287"/>
      <c r="D115" s="287"/>
      <c r="E115" s="287"/>
      <c r="F115" s="288"/>
      <c r="G115" s="286"/>
      <c r="H115" s="287"/>
      <c r="I115" s="287"/>
      <c r="J115" s="287"/>
      <c r="K115" s="288"/>
      <c r="L115" s="306"/>
      <c r="M115" s="307"/>
      <c r="N115" s="307"/>
      <c r="O115" s="307"/>
      <c r="P115" s="308"/>
    </row>
    <row r="116" spans="1:18" ht="22.5" customHeight="1" thickBot="1" x14ac:dyDescent="0.3">
      <c r="A116" s="5"/>
      <c r="B116" s="286"/>
      <c r="C116" s="287"/>
      <c r="D116" s="287"/>
      <c r="E116" s="287"/>
      <c r="F116" s="288"/>
      <c r="G116" s="286"/>
      <c r="H116" s="287"/>
      <c r="I116" s="287"/>
      <c r="J116" s="287"/>
      <c r="K116" s="288"/>
      <c r="L116" s="309" t="s">
        <v>35</v>
      </c>
      <c r="M116" s="310"/>
      <c r="N116" s="310"/>
      <c r="O116" s="310"/>
      <c r="P116" s="97">
        <v>8.6199999999999992</v>
      </c>
    </row>
    <row r="117" spans="1:18" ht="32.25" customHeight="1" thickBot="1" x14ac:dyDescent="0.3">
      <c r="A117" s="5"/>
      <c r="B117" s="289"/>
      <c r="C117" s="290"/>
      <c r="D117" s="290"/>
      <c r="E117" s="290"/>
      <c r="F117" s="291"/>
      <c r="G117" s="289"/>
      <c r="H117" s="290"/>
      <c r="I117" s="290"/>
      <c r="J117" s="290"/>
      <c r="K117" s="291"/>
      <c r="L117" s="311" t="s">
        <v>50</v>
      </c>
      <c r="M117" s="312"/>
      <c r="N117" s="312"/>
      <c r="O117" s="312"/>
      <c r="P117" s="97">
        <v>0.15110000000000001</v>
      </c>
      <c r="R117" s="99"/>
    </row>
    <row r="118" spans="1:18" ht="23.45" customHeight="1" thickBot="1" x14ac:dyDescent="0.3">
      <c r="A118" s="7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</row>
    <row r="119" spans="1:18" ht="15.75" thickBot="1" x14ac:dyDescent="0.3">
      <c r="A119" s="319" t="s">
        <v>36</v>
      </c>
      <c r="B119" s="320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  <c r="M119" s="320"/>
      <c r="N119" s="320"/>
      <c r="O119" s="320"/>
      <c r="P119" s="321"/>
    </row>
    <row r="120" spans="1:18" ht="168" customHeight="1" thickBot="1" x14ac:dyDescent="0.3">
      <c r="A120" s="4"/>
      <c r="B120" s="322"/>
      <c r="C120" s="323"/>
      <c r="D120" s="323"/>
      <c r="E120" s="323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4"/>
    </row>
    <row r="121" spans="1:18" ht="15.75" thickBot="1" x14ac:dyDescent="0.3">
      <c r="A121" s="4"/>
      <c r="B121" s="325" t="s">
        <v>116</v>
      </c>
      <c r="C121" s="326"/>
      <c r="D121" s="326"/>
      <c r="E121" s="326"/>
      <c r="F121" s="326"/>
      <c r="G121" s="326" t="s">
        <v>117</v>
      </c>
      <c r="H121" s="326"/>
      <c r="I121" s="326"/>
      <c r="J121" s="326"/>
      <c r="K121" s="326"/>
      <c r="L121" s="326" t="s">
        <v>118</v>
      </c>
      <c r="M121" s="326"/>
      <c r="N121" s="326"/>
      <c r="O121" s="326"/>
      <c r="P121" s="327"/>
    </row>
    <row r="122" spans="1:18" s="9" customFormat="1" ht="16.899999999999999" customHeight="1" thickBot="1" x14ac:dyDescent="0.3">
      <c r="A122" s="8"/>
      <c r="B122" s="313"/>
      <c r="C122" s="313"/>
      <c r="D122" s="313"/>
      <c r="E122" s="313"/>
      <c r="F122" s="313"/>
      <c r="G122" s="313"/>
      <c r="H122" s="313"/>
      <c r="I122" s="313"/>
      <c r="J122" s="313"/>
      <c r="K122" s="313"/>
      <c r="L122" s="313"/>
      <c r="M122" s="313"/>
      <c r="N122" s="313"/>
      <c r="O122" s="313"/>
      <c r="P122" s="314"/>
    </row>
    <row r="123" spans="1:18" s="3" customFormat="1" ht="15.75" customHeight="1" thickBot="1" x14ac:dyDescent="0.25">
      <c r="A123" s="315" t="s">
        <v>37</v>
      </c>
      <c r="B123" s="316"/>
      <c r="C123" s="316"/>
      <c r="D123" s="316" t="s">
        <v>119</v>
      </c>
      <c r="E123" s="316"/>
      <c r="F123" s="316"/>
      <c r="G123" s="316"/>
      <c r="H123" s="316"/>
      <c r="I123" s="316"/>
      <c r="J123" s="316" t="s">
        <v>38</v>
      </c>
      <c r="K123" s="316"/>
      <c r="L123" s="316"/>
      <c r="M123" s="316"/>
      <c r="N123" s="316"/>
      <c r="O123" s="316"/>
      <c r="P123" s="317"/>
    </row>
  </sheetData>
  <mergeCells count="245">
    <mergeCell ref="B122:P122"/>
    <mergeCell ref="A123:C123"/>
    <mergeCell ref="D123:I123"/>
    <mergeCell ref="J123:K123"/>
    <mergeCell ref="L123:P123"/>
    <mergeCell ref="B118:P118"/>
    <mergeCell ref="A119:P119"/>
    <mergeCell ref="B120:F120"/>
    <mergeCell ref="G120:K120"/>
    <mergeCell ref="L120:P120"/>
    <mergeCell ref="B121:F121"/>
    <mergeCell ref="G121:K121"/>
    <mergeCell ref="L121:P121"/>
    <mergeCell ref="B111:F117"/>
    <mergeCell ref="G111:K117"/>
    <mergeCell ref="L111:N111"/>
    <mergeCell ref="O111:P111"/>
    <mergeCell ref="L112:N112"/>
    <mergeCell ref="O112:P112"/>
    <mergeCell ref="L113:P115"/>
    <mergeCell ref="L116:O116"/>
    <mergeCell ref="L117:O117"/>
    <mergeCell ref="B108:J109"/>
    <mergeCell ref="O108:O109"/>
    <mergeCell ref="P108:P109"/>
    <mergeCell ref="B110:F110"/>
    <mergeCell ref="G110:K110"/>
    <mergeCell ref="L110:P110"/>
    <mergeCell ref="L97:L107"/>
    <mergeCell ref="M97:M107"/>
    <mergeCell ref="N97:N107"/>
    <mergeCell ref="O97:O107"/>
    <mergeCell ref="P97:P107"/>
    <mergeCell ref="C102:C107"/>
    <mergeCell ref="D102:D107"/>
    <mergeCell ref="C95:H95"/>
    <mergeCell ref="I95:I96"/>
    <mergeCell ref="K95:P95"/>
    <mergeCell ref="C96:H96"/>
    <mergeCell ref="K96:P96"/>
    <mergeCell ref="B97:B107"/>
    <mergeCell ref="C97:C101"/>
    <mergeCell ref="D97:D101"/>
    <mergeCell ref="E97:E107"/>
    <mergeCell ref="K97:K107"/>
    <mergeCell ref="P84:P88"/>
    <mergeCell ref="B89:B94"/>
    <mergeCell ref="C89:P94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B79:B83"/>
    <mergeCell ref="C79:C83"/>
    <mergeCell ref="D79:D83"/>
    <mergeCell ref="E79:E83"/>
    <mergeCell ref="K79:K83"/>
    <mergeCell ref="L79:L83"/>
    <mergeCell ref="M84:M88"/>
    <mergeCell ref="N84:N88"/>
    <mergeCell ref="O84:O88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23"/>
  <sheetViews>
    <sheetView view="pageBreakPreview" topLeftCell="C1" zoomScale="70" zoomScaleSheetLayoutView="7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104"/>
      <c r="B2" s="122"/>
      <c r="C2" s="123"/>
      <c r="D2" s="124"/>
      <c r="E2" s="128" t="s">
        <v>125</v>
      </c>
      <c r="F2" s="129"/>
      <c r="G2" s="129"/>
      <c r="H2" s="129"/>
      <c r="I2" s="129"/>
      <c r="J2" s="129"/>
      <c r="K2" s="129"/>
      <c r="L2" s="129"/>
      <c r="M2" s="129"/>
      <c r="N2" s="129"/>
      <c r="O2" s="132"/>
      <c r="P2" s="133"/>
    </row>
    <row r="3" spans="1:26" s="2" customFormat="1" ht="25.5" customHeight="1" thickBot="1" x14ac:dyDescent="0.3">
      <c r="A3" s="104"/>
      <c r="B3" s="125"/>
      <c r="C3" s="126"/>
      <c r="D3" s="127"/>
      <c r="E3" s="130"/>
      <c r="F3" s="131"/>
      <c r="G3" s="131"/>
      <c r="H3" s="131"/>
      <c r="I3" s="131"/>
      <c r="J3" s="131"/>
      <c r="K3" s="131"/>
      <c r="L3" s="131"/>
      <c r="M3" s="131"/>
      <c r="N3" s="131"/>
      <c r="O3" s="134"/>
      <c r="P3" s="135"/>
    </row>
    <row r="4" spans="1:26" s="19" customFormat="1" ht="11.25" customHeight="1" thickBot="1" x14ac:dyDescent="0.3">
      <c r="A4" s="18"/>
      <c r="B4" s="115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117">
        <v>43076</v>
      </c>
      <c r="D5" s="118"/>
      <c r="E5" s="22" t="s">
        <v>53</v>
      </c>
      <c r="F5" s="23">
        <v>2</v>
      </c>
      <c r="G5" s="24" t="s">
        <v>1</v>
      </c>
      <c r="H5" s="119" t="s">
        <v>126</v>
      </c>
      <c r="I5" s="120"/>
      <c r="J5" s="120"/>
      <c r="K5" s="120"/>
      <c r="L5" s="120"/>
      <c r="M5" s="120"/>
      <c r="N5" s="120"/>
      <c r="O5" s="120"/>
      <c r="P5" s="12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136" t="s">
        <v>2</v>
      </c>
      <c r="C6" s="137"/>
      <c r="D6" s="138" t="s">
        <v>110</v>
      </c>
      <c r="E6" s="139"/>
      <c r="F6" s="139"/>
      <c r="G6" s="139"/>
      <c r="H6" s="139"/>
      <c r="I6" s="140"/>
      <c r="J6" s="28" t="s">
        <v>3</v>
      </c>
      <c r="K6" s="141" t="s">
        <v>111</v>
      </c>
      <c r="L6" s="140"/>
      <c r="M6" s="141" t="s">
        <v>112</v>
      </c>
      <c r="N6" s="142"/>
      <c r="O6" s="29" t="s">
        <v>54</v>
      </c>
      <c r="P6" s="30">
        <v>2020</v>
      </c>
    </row>
    <row r="7" spans="1:26" s="26" customFormat="1" ht="21.75" customHeight="1" x14ac:dyDescent="0.25">
      <c r="B7" s="143" t="s">
        <v>55</v>
      </c>
      <c r="C7" s="145" t="s">
        <v>56</v>
      </c>
      <c r="D7" s="146"/>
      <c r="E7" s="32"/>
      <c r="F7" s="147" t="s">
        <v>57</v>
      </c>
      <c r="G7" s="148"/>
      <c r="H7" s="148"/>
      <c r="I7" s="148"/>
      <c r="J7" s="149" t="s">
        <v>58</v>
      </c>
      <c r="K7" s="150"/>
      <c r="L7" s="150"/>
      <c r="M7" s="151"/>
      <c r="N7" s="152" t="s">
        <v>59</v>
      </c>
      <c r="O7" s="153"/>
      <c r="P7" s="33" t="s">
        <v>60</v>
      </c>
    </row>
    <row r="8" spans="1:26" s="26" customFormat="1" ht="21.75" customHeight="1" thickBot="1" x14ac:dyDescent="0.3">
      <c r="B8" s="144"/>
      <c r="C8" s="154" t="s">
        <v>61</v>
      </c>
      <c r="D8" s="155"/>
      <c r="E8" s="90" t="s">
        <v>4</v>
      </c>
      <c r="F8" s="156" t="s">
        <v>5</v>
      </c>
      <c r="G8" s="157"/>
      <c r="H8" s="157"/>
      <c r="I8" s="157"/>
      <c r="J8" s="158"/>
      <c r="K8" s="159"/>
      <c r="L8" s="159"/>
      <c r="M8" s="160"/>
      <c r="N8" s="161"/>
      <c r="O8" s="162"/>
      <c r="P8" s="34"/>
    </row>
    <row r="9" spans="1:26" s="26" customFormat="1" ht="21.75" customHeight="1" x14ac:dyDescent="0.25">
      <c r="B9" s="163" t="s">
        <v>6</v>
      </c>
      <c r="C9" s="166" t="s">
        <v>62</v>
      </c>
      <c r="D9" s="168" t="s">
        <v>63</v>
      </c>
      <c r="E9" s="169"/>
      <c r="F9" s="35"/>
      <c r="G9" s="170" t="s">
        <v>7</v>
      </c>
      <c r="H9" s="171" t="s">
        <v>8</v>
      </c>
      <c r="I9" s="146"/>
      <c r="J9" s="36"/>
      <c r="K9" s="166" t="s">
        <v>64</v>
      </c>
      <c r="L9" s="172" t="s">
        <v>108</v>
      </c>
      <c r="M9" s="173"/>
      <c r="N9" s="174"/>
      <c r="O9" s="174"/>
      <c r="P9" s="175"/>
    </row>
    <row r="10" spans="1:26" s="26" customFormat="1" ht="21.75" customHeight="1" thickBot="1" x14ac:dyDescent="0.3">
      <c r="B10" s="164"/>
      <c r="C10" s="167"/>
      <c r="D10" s="185" t="s">
        <v>65</v>
      </c>
      <c r="E10" s="155"/>
      <c r="F10" s="91" t="s">
        <v>4</v>
      </c>
      <c r="G10" s="167"/>
      <c r="H10" s="185" t="s">
        <v>9</v>
      </c>
      <c r="I10" s="155"/>
      <c r="J10" s="92" t="s">
        <v>4</v>
      </c>
      <c r="K10" s="167"/>
      <c r="L10" s="176"/>
      <c r="M10" s="177"/>
      <c r="N10" s="177"/>
      <c r="O10" s="177"/>
      <c r="P10" s="178"/>
    </row>
    <row r="11" spans="1:26" s="26" customFormat="1" ht="28.9" customHeight="1" x14ac:dyDescent="0.25">
      <c r="A11" s="20"/>
      <c r="B11" s="164"/>
      <c r="C11" s="186" t="s">
        <v>10</v>
      </c>
      <c r="D11" s="169"/>
      <c r="E11" s="93">
        <v>0.55625000000000002</v>
      </c>
      <c r="F11" s="187" t="s">
        <v>11</v>
      </c>
      <c r="G11" s="169"/>
      <c r="H11" s="98">
        <v>1.17</v>
      </c>
      <c r="I11" s="188" t="s">
        <v>12</v>
      </c>
      <c r="J11" s="146"/>
      <c r="K11" s="94">
        <v>19</v>
      </c>
      <c r="L11" s="186" t="s">
        <v>13</v>
      </c>
      <c r="M11" s="169"/>
      <c r="N11" s="95">
        <v>1.4</v>
      </c>
      <c r="O11" s="179" t="s">
        <v>66</v>
      </c>
      <c r="P11" s="180"/>
    </row>
    <row r="12" spans="1:26" s="26" customFormat="1" ht="21.75" customHeight="1" thickBot="1" x14ac:dyDescent="0.3">
      <c r="A12" s="20"/>
      <c r="B12" s="165"/>
      <c r="C12" s="181" t="s">
        <v>14</v>
      </c>
      <c r="D12" s="155"/>
      <c r="E12" s="93">
        <v>0.57708333333333328</v>
      </c>
      <c r="F12" s="154" t="s">
        <v>15</v>
      </c>
      <c r="G12" s="155"/>
      <c r="H12" s="98">
        <v>1.17</v>
      </c>
      <c r="I12" s="182" t="s">
        <v>16</v>
      </c>
      <c r="J12" s="155"/>
      <c r="K12" s="93">
        <v>0.55486111111111114</v>
      </c>
      <c r="L12" s="181" t="s">
        <v>17</v>
      </c>
      <c r="M12" s="155"/>
      <c r="N12" s="96">
        <v>0.1</v>
      </c>
      <c r="O12" s="183">
        <v>6.5</v>
      </c>
      <c r="P12" s="184"/>
    </row>
    <row r="13" spans="1:26" s="26" customFormat="1" ht="21.75" customHeight="1" x14ac:dyDescent="0.25">
      <c r="A13" s="20"/>
      <c r="B13" s="204" t="s">
        <v>18</v>
      </c>
      <c r="C13" s="206" t="s">
        <v>67</v>
      </c>
      <c r="D13" s="207"/>
      <c r="E13" s="207"/>
      <c r="F13" s="208" t="s">
        <v>68</v>
      </c>
      <c r="G13" s="207"/>
      <c r="H13" s="207"/>
      <c r="I13" s="207"/>
      <c r="J13" s="208" t="s">
        <v>69</v>
      </c>
      <c r="K13" s="207"/>
      <c r="L13" s="207"/>
      <c r="M13" s="207"/>
      <c r="N13" s="209" t="s">
        <v>70</v>
      </c>
      <c r="O13" s="207"/>
      <c r="P13" s="210"/>
      <c r="Q13" s="37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05"/>
      <c r="C14" s="211" t="s">
        <v>71</v>
      </c>
      <c r="D14" s="212"/>
      <c r="E14" s="212"/>
      <c r="F14" s="213" t="s">
        <v>72</v>
      </c>
      <c r="G14" s="212"/>
      <c r="H14" s="212"/>
      <c r="I14" s="212"/>
      <c r="J14" s="214" t="s">
        <v>73</v>
      </c>
      <c r="K14" s="212"/>
      <c r="L14" s="212"/>
      <c r="M14" s="212"/>
      <c r="N14" s="215"/>
      <c r="O14" s="201"/>
      <c r="P14" s="21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144"/>
      <c r="C15" s="217" t="s">
        <v>74</v>
      </c>
      <c r="D15" s="189"/>
      <c r="E15" s="189"/>
      <c r="F15" s="189" t="s">
        <v>75</v>
      </c>
      <c r="G15" s="190"/>
      <c r="H15" s="190"/>
      <c r="I15" s="190"/>
      <c r="J15" s="189" t="s">
        <v>76</v>
      </c>
      <c r="K15" s="190"/>
      <c r="L15" s="190"/>
      <c r="M15" s="190"/>
      <c r="N15" s="191"/>
      <c r="O15" s="192"/>
      <c r="P15" s="193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194" t="s">
        <v>19</v>
      </c>
      <c r="C16" s="196" t="s">
        <v>20</v>
      </c>
      <c r="D16" s="196" t="s">
        <v>41</v>
      </c>
      <c r="E16" s="198" t="s">
        <v>21</v>
      </c>
      <c r="F16" s="199" t="s">
        <v>42</v>
      </c>
      <c r="G16" s="116"/>
      <c r="H16" s="196" t="s">
        <v>77</v>
      </c>
      <c r="I16" s="202" t="s">
        <v>78</v>
      </c>
      <c r="J16" s="38" t="s">
        <v>43</v>
      </c>
      <c r="K16" s="39"/>
      <c r="L16" s="40" t="s">
        <v>44</v>
      </c>
      <c r="M16" s="40" t="s">
        <v>45</v>
      </c>
      <c r="N16" s="40" t="s">
        <v>45</v>
      </c>
      <c r="O16" s="40" t="s">
        <v>46</v>
      </c>
      <c r="P16" s="41" t="s">
        <v>22</v>
      </c>
    </row>
    <row r="17" spans="1:26" s="26" customFormat="1" ht="21.75" customHeight="1" thickBot="1" x14ac:dyDescent="0.3">
      <c r="A17" s="42"/>
      <c r="B17" s="195"/>
      <c r="C17" s="197"/>
      <c r="D17" s="197"/>
      <c r="E17" s="197"/>
      <c r="F17" s="200"/>
      <c r="G17" s="201"/>
      <c r="H17" s="197"/>
      <c r="I17" s="203"/>
      <c r="J17" s="43" t="s">
        <v>23</v>
      </c>
      <c r="K17" s="44" t="s">
        <v>24</v>
      </c>
      <c r="L17" s="44" t="s">
        <v>47</v>
      </c>
      <c r="M17" s="44" t="s">
        <v>48</v>
      </c>
      <c r="N17" s="44" t="s">
        <v>25</v>
      </c>
      <c r="O17" s="44" t="s">
        <v>26</v>
      </c>
      <c r="P17" s="45" t="s">
        <v>27</v>
      </c>
    </row>
    <row r="18" spans="1:26" s="54" customFormat="1" ht="21.6" customHeight="1" thickBot="1" x14ac:dyDescent="0.3">
      <c r="A18" s="46"/>
      <c r="B18" s="47"/>
      <c r="C18" s="48">
        <f>+O12</f>
        <v>6.5</v>
      </c>
      <c r="D18" s="48">
        <v>6.7000000000000004E-2</v>
      </c>
      <c r="E18" s="49"/>
      <c r="F18" s="50"/>
      <c r="G18" s="89"/>
      <c r="H18" s="51"/>
      <c r="I18" s="52"/>
      <c r="J18" s="88"/>
      <c r="K18" s="49"/>
      <c r="L18" s="49"/>
      <c r="M18" s="49"/>
      <c r="N18" s="49"/>
      <c r="O18" s="49"/>
      <c r="P18" s="53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s="54" customFormat="1" ht="14.1" customHeight="1" x14ac:dyDescent="0.25">
      <c r="A19" s="46"/>
      <c r="B19" s="230">
        <v>1</v>
      </c>
      <c r="C19" s="233">
        <f>+C18+$N$12</f>
        <v>6.6</v>
      </c>
      <c r="D19" s="218">
        <v>7.3999999999999996E-2</v>
      </c>
      <c r="E19" s="218">
        <v>6.8000000000000005E-2</v>
      </c>
      <c r="F19" s="55" t="s">
        <v>79</v>
      </c>
      <c r="G19" s="56">
        <v>0</v>
      </c>
      <c r="H19" s="57"/>
      <c r="I19" s="58"/>
      <c r="J19" s="59"/>
      <c r="K19" s="218">
        <f>+IF(E19&lt;=0.12,(J21),(IF(E19&lt;0.16,((J20+2*J21+J22)/4),IF(E19&gt;=0.16,((J19+3*J20+2*J21+3*J22+J23)/10)))))</f>
        <v>1.6E-2</v>
      </c>
      <c r="L19" s="218">
        <f>ROUND(+(D18+D19)/2*(C19-C18),3)</f>
        <v>7.0000000000000001E-3</v>
      </c>
      <c r="M19" s="218">
        <f>ROUND(+K19*L19,4)</f>
        <v>1E-4</v>
      </c>
      <c r="N19" s="221">
        <f>ROUND(+M19/$M$108*100,2)</f>
        <v>0.5</v>
      </c>
      <c r="O19" s="224"/>
      <c r="P19" s="227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s="54" customFormat="1" ht="14.1" customHeight="1" x14ac:dyDescent="0.25">
      <c r="A20" s="46"/>
      <c r="B20" s="231"/>
      <c r="C20" s="234"/>
      <c r="D20" s="219"/>
      <c r="E20" s="219"/>
      <c r="F20" s="60" t="s">
        <v>80</v>
      </c>
      <c r="G20" s="61" t="str">
        <f>IF(E19&lt;0.125,"NA",IF(0.125&lt;=E19,(0.2*E19)))</f>
        <v>NA</v>
      </c>
      <c r="H20" s="62"/>
      <c r="I20" s="63"/>
      <c r="J20" s="64"/>
      <c r="K20" s="219"/>
      <c r="L20" s="219"/>
      <c r="M20" s="219"/>
      <c r="N20" s="222"/>
      <c r="O20" s="225"/>
      <c r="P20" s="228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s="54" customFormat="1" ht="14.1" customHeight="1" x14ac:dyDescent="0.25">
      <c r="A21" s="46"/>
      <c r="B21" s="231"/>
      <c r="C21" s="234"/>
      <c r="D21" s="219"/>
      <c r="E21" s="219"/>
      <c r="F21" s="60" t="s">
        <v>81</v>
      </c>
      <c r="G21" s="61">
        <f>+E19*0.4</f>
        <v>2.7200000000000002E-2</v>
      </c>
      <c r="H21" s="62"/>
      <c r="I21" s="63"/>
      <c r="J21" s="64">
        <v>1.6E-2</v>
      </c>
      <c r="K21" s="219"/>
      <c r="L21" s="219"/>
      <c r="M21" s="219"/>
      <c r="N21" s="222"/>
      <c r="O21" s="225"/>
      <c r="P21" s="228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s="54" customFormat="1" ht="14.1" customHeight="1" x14ac:dyDescent="0.25">
      <c r="A22" s="46"/>
      <c r="B22" s="231"/>
      <c r="C22" s="234"/>
      <c r="D22" s="219"/>
      <c r="E22" s="219"/>
      <c r="F22" s="60" t="s">
        <v>82</v>
      </c>
      <c r="G22" s="61" t="str">
        <f>IF(E19&lt;0.125,"NA",IF(0.125&lt;=E19,(0.8*E19)))</f>
        <v>NA</v>
      </c>
      <c r="H22" s="62"/>
      <c r="I22" s="63"/>
      <c r="J22" s="64"/>
      <c r="K22" s="219"/>
      <c r="L22" s="219"/>
      <c r="M22" s="219"/>
      <c r="N22" s="222"/>
      <c r="O22" s="225"/>
      <c r="P22" s="228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s="54" customFormat="1" ht="14.1" customHeight="1" thickBot="1" x14ac:dyDescent="0.3">
      <c r="A23" s="46"/>
      <c r="B23" s="232"/>
      <c r="C23" s="235"/>
      <c r="D23" s="220"/>
      <c r="E23" s="220"/>
      <c r="F23" s="65" t="s">
        <v>83</v>
      </c>
      <c r="G23" s="66">
        <f>+E19</f>
        <v>6.8000000000000005E-2</v>
      </c>
      <c r="H23" s="67"/>
      <c r="I23" s="68"/>
      <c r="J23" s="69">
        <v>0.08</v>
      </c>
      <c r="K23" s="220"/>
      <c r="L23" s="220"/>
      <c r="M23" s="220"/>
      <c r="N23" s="223"/>
      <c r="O23" s="226"/>
      <c r="P23" s="229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s="54" customFormat="1" ht="14.1" customHeight="1" x14ac:dyDescent="0.25">
      <c r="A24" s="46"/>
      <c r="B24" s="230">
        <v>2</v>
      </c>
      <c r="C24" s="233">
        <f>+C19+$N$12</f>
        <v>6.6999999999999993</v>
      </c>
      <c r="D24" s="218">
        <v>7.3999999999999996E-2</v>
      </c>
      <c r="E24" s="218">
        <v>7.2999999999999995E-2</v>
      </c>
      <c r="F24" s="55" t="s">
        <v>79</v>
      </c>
      <c r="G24" s="56">
        <v>0</v>
      </c>
      <c r="H24" s="57"/>
      <c r="I24" s="58"/>
      <c r="J24" s="59"/>
      <c r="K24" s="218">
        <f>+IF(E24&lt;=0.12,(J26),(IF(E24&lt;0.16,((J25+2*J26+J27)/4),IF(E24&gt;=0.16,((J24+3*J25+2*J26+3*J27+J28)/10)))))</f>
        <v>1.6E-2</v>
      </c>
      <c r="L24" s="218">
        <f>ROUND(+(D19+D24)/2*(C24-C19),3)</f>
        <v>7.0000000000000001E-3</v>
      </c>
      <c r="M24" s="218">
        <f>ROUND(+K24*L24,4)</f>
        <v>1E-4</v>
      </c>
      <c r="N24" s="221">
        <f>ROUND(+M24/$M$108*100,2)</f>
        <v>0.5</v>
      </c>
      <c r="O24" s="224"/>
      <c r="P24" s="227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s="54" customFormat="1" ht="14.1" customHeight="1" x14ac:dyDescent="0.25">
      <c r="A25" s="46"/>
      <c r="B25" s="231"/>
      <c r="C25" s="234"/>
      <c r="D25" s="219"/>
      <c r="E25" s="219"/>
      <c r="F25" s="60" t="s">
        <v>80</v>
      </c>
      <c r="G25" s="61" t="str">
        <f>IF(E24&lt;0.125,"NA",IF(0.125&lt;=E24,(0.2*E24)))</f>
        <v>NA</v>
      </c>
      <c r="H25" s="62"/>
      <c r="I25" s="63"/>
      <c r="J25" s="64"/>
      <c r="K25" s="219"/>
      <c r="L25" s="219"/>
      <c r="M25" s="219"/>
      <c r="N25" s="222"/>
      <c r="O25" s="225"/>
      <c r="P25" s="228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s="54" customFormat="1" ht="14.1" customHeight="1" x14ac:dyDescent="0.25">
      <c r="A26" s="46"/>
      <c r="B26" s="231"/>
      <c r="C26" s="234"/>
      <c r="D26" s="219"/>
      <c r="E26" s="219"/>
      <c r="F26" s="60" t="s">
        <v>81</v>
      </c>
      <c r="G26" s="61">
        <f>+E24*0.4</f>
        <v>2.92E-2</v>
      </c>
      <c r="H26" s="62"/>
      <c r="I26" s="63"/>
      <c r="J26" s="64">
        <v>1.6E-2</v>
      </c>
      <c r="K26" s="219"/>
      <c r="L26" s="219"/>
      <c r="M26" s="219"/>
      <c r="N26" s="222"/>
      <c r="O26" s="225"/>
      <c r="P26" s="228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s="54" customFormat="1" ht="14.1" customHeight="1" x14ac:dyDescent="0.25">
      <c r="A27" s="46"/>
      <c r="B27" s="231"/>
      <c r="C27" s="234"/>
      <c r="D27" s="219"/>
      <c r="E27" s="219"/>
      <c r="F27" s="60" t="s">
        <v>82</v>
      </c>
      <c r="G27" s="61" t="str">
        <f>IF(E24&lt;0.125,"NA",IF(0.125&lt;=E24,(0.8*E24)))</f>
        <v>NA</v>
      </c>
      <c r="H27" s="62"/>
      <c r="I27" s="63"/>
      <c r="J27" s="64"/>
      <c r="K27" s="219"/>
      <c r="L27" s="219"/>
      <c r="M27" s="219"/>
      <c r="N27" s="222"/>
      <c r="O27" s="225"/>
      <c r="P27" s="228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s="54" customFormat="1" ht="14.1" customHeight="1" thickBot="1" x14ac:dyDescent="0.3">
      <c r="A28" s="46"/>
      <c r="B28" s="232"/>
      <c r="C28" s="235"/>
      <c r="D28" s="220"/>
      <c r="E28" s="220"/>
      <c r="F28" s="65" t="s">
        <v>83</v>
      </c>
      <c r="G28" s="66">
        <f>+E24</f>
        <v>7.2999999999999995E-2</v>
      </c>
      <c r="H28" s="67"/>
      <c r="I28" s="68"/>
      <c r="J28" s="69">
        <v>7.6999999999999999E-2</v>
      </c>
      <c r="K28" s="220"/>
      <c r="L28" s="220"/>
      <c r="M28" s="220"/>
      <c r="N28" s="223"/>
      <c r="O28" s="226"/>
      <c r="P28" s="229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s="54" customFormat="1" ht="14.1" customHeight="1" x14ac:dyDescent="0.25">
      <c r="A29" s="46"/>
      <c r="B29" s="230">
        <v>3</v>
      </c>
      <c r="C29" s="233">
        <f t="shared" ref="C29" si="0">+C24+$N$12</f>
        <v>6.7999999999999989</v>
      </c>
      <c r="D29" s="218">
        <v>7.3999999999999996E-2</v>
      </c>
      <c r="E29" s="218">
        <v>7.0000000000000007E-2</v>
      </c>
      <c r="F29" s="55" t="s">
        <v>79</v>
      </c>
      <c r="G29" s="56">
        <v>0</v>
      </c>
      <c r="H29" s="57"/>
      <c r="I29" s="58"/>
      <c r="J29" s="59"/>
      <c r="K29" s="218">
        <f>+IF(E29&lt;=0.12,(J31),(IF(E29&lt;0.16,((J30+2*J31+J32)/4),IF(E29&gt;=0.16,((J29+3*J30+2*J31+3*J32+J33)/10)))))</f>
        <v>0.105</v>
      </c>
      <c r="L29" s="218">
        <f t="shared" ref="L29" si="1">ROUND(+(D24+D29)/2*(C29-C24),3)</f>
        <v>7.0000000000000001E-3</v>
      </c>
      <c r="M29" s="218">
        <f t="shared" ref="M29" si="2">ROUND(+K29*L29,4)</f>
        <v>6.9999999999999999E-4</v>
      </c>
      <c r="N29" s="221">
        <f t="shared" ref="N29" si="3">ROUND(+M29/$M$108*100,2)</f>
        <v>3.52</v>
      </c>
      <c r="O29" s="224"/>
      <c r="P29" s="227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s="54" customFormat="1" ht="14.1" customHeight="1" x14ac:dyDescent="0.25">
      <c r="A30" s="46"/>
      <c r="B30" s="231"/>
      <c r="C30" s="234"/>
      <c r="D30" s="219"/>
      <c r="E30" s="219"/>
      <c r="F30" s="60" t="s">
        <v>80</v>
      </c>
      <c r="G30" s="61" t="str">
        <f t="shared" ref="G30" si="4">IF(E29&lt;0.125,"NA",IF(0.125&lt;=E29,(0.2*E29)))</f>
        <v>NA</v>
      </c>
      <c r="H30" s="62"/>
      <c r="I30" s="63"/>
      <c r="J30" s="64"/>
      <c r="K30" s="219"/>
      <c r="L30" s="219"/>
      <c r="M30" s="219"/>
      <c r="N30" s="222"/>
      <c r="O30" s="225"/>
      <c r="P30" s="228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s="54" customFormat="1" ht="14.1" customHeight="1" x14ac:dyDescent="0.25">
      <c r="A31" s="46"/>
      <c r="B31" s="231"/>
      <c r="C31" s="234"/>
      <c r="D31" s="219"/>
      <c r="E31" s="219"/>
      <c r="F31" s="60" t="s">
        <v>81</v>
      </c>
      <c r="G31" s="61">
        <f t="shared" ref="G31" si="5">+E29*0.4</f>
        <v>2.8000000000000004E-2</v>
      </c>
      <c r="H31" s="62"/>
      <c r="I31" s="63"/>
      <c r="J31" s="64">
        <v>0.105</v>
      </c>
      <c r="K31" s="219"/>
      <c r="L31" s="219"/>
      <c r="M31" s="219"/>
      <c r="N31" s="222"/>
      <c r="O31" s="225"/>
      <c r="P31" s="228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s="54" customFormat="1" ht="14.1" customHeight="1" x14ac:dyDescent="0.25">
      <c r="A32" s="46"/>
      <c r="B32" s="231"/>
      <c r="C32" s="234"/>
      <c r="D32" s="219"/>
      <c r="E32" s="219"/>
      <c r="F32" s="60" t="s">
        <v>82</v>
      </c>
      <c r="G32" s="61" t="str">
        <f t="shared" ref="G32" si="6">IF(E29&lt;0.125,"NA",IF(0.125&lt;=E29,(0.8*E29)))</f>
        <v>NA</v>
      </c>
      <c r="H32" s="62"/>
      <c r="I32" s="63"/>
      <c r="J32" s="64"/>
      <c r="K32" s="219"/>
      <c r="L32" s="219"/>
      <c r="M32" s="219"/>
      <c r="N32" s="222"/>
      <c r="O32" s="225"/>
      <c r="P32" s="228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s="54" customFormat="1" ht="14.1" customHeight="1" thickBot="1" x14ac:dyDescent="0.3">
      <c r="A33" s="46"/>
      <c r="B33" s="232"/>
      <c r="C33" s="235"/>
      <c r="D33" s="220"/>
      <c r="E33" s="220"/>
      <c r="F33" s="65" t="s">
        <v>83</v>
      </c>
      <c r="G33" s="66">
        <f t="shared" ref="G33" si="7">+E29</f>
        <v>7.0000000000000007E-2</v>
      </c>
      <c r="H33" s="67"/>
      <c r="I33" s="68"/>
      <c r="J33" s="69">
        <v>0.125</v>
      </c>
      <c r="K33" s="220"/>
      <c r="L33" s="220"/>
      <c r="M33" s="220"/>
      <c r="N33" s="223"/>
      <c r="O33" s="226"/>
      <c r="P33" s="229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s="54" customFormat="1" ht="14.1" customHeight="1" x14ac:dyDescent="0.25">
      <c r="A34" s="46"/>
      <c r="B34" s="230">
        <v>4</v>
      </c>
      <c r="C34" s="233">
        <f t="shared" ref="C34" si="8">+C29+$N$12</f>
        <v>6.8999999999999986</v>
      </c>
      <c r="D34" s="218">
        <v>6.9000000000000006E-2</v>
      </c>
      <c r="E34" s="218">
        <v>6.8000000000000005E-2</v>
      </c>
      <c r="F34" s="55" t="s">
        <v>79</v>
      </c>
      <c r="G34" s="56">
        <v>0</v>
      </c>
      <c r="H34" s="57"/>
      <c r="I34" s="58"/>
      <c r="J34" s="59"/>
      <c r="K34" s="218">
        <f>+IF(E34&lt;=0.12,(J36),(IF(E34&lt;0.16,((J35+2*J36+J37)/4),IF(E34&gt;=0.16,((J34+3*J35+2*J36+3*J37+J38)/10)))))</f>
        <v>0.112</v>
      </c>
      <c r="L34" s="218">
        <f t="shared" ref="L34" si="9">ROUND(+(D29+D34)/2*(C34-C29),3)</f>
        <v>7.0000000000000001E-3</v>
      </c>
      <c r="M34" s="218">
        <f t="shared" ref="M34" si="10">ROUND(+K34*L34,4)</f>
        <v>8.0000000000000004E-4</v>
      </c>
      <c r="N34" s="221">
        <f t="shared" ref="N34" si="11">ROUND(+M34/$M$108*100,2)</f>
        <v>4.0199999999999996</v>
      </c>
      <c r="O34" s="224"/>
      <c r="P34" s="227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s="54" customFormat="1" ht="14.1" customHeight="1" x14ac:dyDescent="0.25">
      <c r="A35" s="46"/>
      <c r="B35" s="231"/>
      <c r="C35" s="234"/>
      <c r="D35" s="219"/>
      <c r="E35" s="219"/>
      <c r="F35" s="60" t="s">
        <v>80</v>
      </c>
      <c r="G35" s="61" t="str">
        <f t="shared" ref="G35" si="12">IF(E34&lt;0.125,"NA",IF(0.125&lt;=E34,(0.2*E34)))</f>
        <v>NA</v>
      </c>
      <c r="H35" s="62"/>
      <c r="I35" s="63"/>
      <c r="J35" s="64"/>
      <c r="K35" s="219"/>
      <c r="L35" s="219"/>
      <c r="M35" s="219"/>
      <c r="N35" s="222"/>
      <c r="O35" s="225"/>
      <c r="P35" s="228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s="54" customFormat="1" ht="14.1" customHeight="1" x14ac:dyDescent="0.25">
      <c r="A36" s="46"/>
      <c r="B36" s="231"/>
      <c r="C36" s="234"/>
      <c r="D36" s="219"/>
      <c r="E36" s="219"/>
      <c r="F36" s="60" t="s">
        <v>81</v>
      </c>
      <c r="G36" s="61">
        <f t="shared" ref="G36" si="13">+E34*0.4</f>
        <v>2.7200000000000002E-2</v>
      </c>
      <c r="H36" s="62"/>
      <c r="I36" s="63"/>
      <c r="J36" s="64">
        <v>0.112</v>
      </c>
      <c r="K36" s="219"/>
      <c r="L36" s="219"/>
      <c r="M36" s="219"/>
      <c r="N36" s="222"/>
      <c r="O36" s="225"/>
      <c r="P36" s="228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s="54" customFormat="1" ht="14.1" customHeight="1" x14ac:dyDescent="0.25">
      <c r="A37" s="46"/>
      <c r="B37" s="231"/>
      <c r="C37" s="234"/>
      <c r="D37" s="219"/>
      <c r="E37" s="219"/>
      <c r="F37" s="60" t="s">
        <v>82</v>
      </c>
      <c r="G37" s="61" t="str">
        <f t="shared" ref="G37" si="14">IF(E34&lt;0.125,"NA",IF(0.125&lt;=E34,(0.8*E34)))</f>
        <v>NA</v>
      </c>
      <c r="H37" s="62"/>
      <c r="I37" s="63"/>
      <c r="J37" s="64"/>
      <c r="K37" s="219"/>
      <c r="L37" s="219"/>
      <c r="M37" s="219"/>
      <c r="N37" s="222"/>
      <c r="O37" s="225"/>
      <c r="P37" s="228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s="54" customFormat="1" ht="14.1" customHeight="1" thickBot="1" x14ac:dyDescent="0.3">
      <c r="A38" s="46"/>
      <c r="B38" s="232"/>
      <c r="C38" s="235"/>
      <c r="D38" s="220"/>
      <c r="E38" s="220"/>
      <c r="F38" s="65" t="s">
        <v>83</v>
      </c>
      <c r="G38" s="66">
        <f t="shared" ref="G38" si="15">+E34</f>
        <v>6.8000000000000005E-2</v>
      </c>
      <c r="H38" s="67"/>
      <c r="I38" s="68"/>
      <c r="J38" s="69">
        <v>0.121</v>
      </c>
      <c r="K38" s="220"/>
      <c r="L38" s="220"/>
      <c r="M38" s="220"/>
      <c r="N38" s="223"/>
      <c r="O38" s="226"/>
      <c r="P38" s="229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s="54" customFormat="1" ht="14.1" customHeight="1" x14ac:dyDescent="0.25">
      <c r="A39" s="46"/>
      <c r="B39" s="230">
        <v>5</v>
      </c>
      <c r="C39" s="233">
        <f t="shared" ref="C39" si="16">+C34+$N$12</f>
        <v>6.9999999999999982</v>
      </c>
      <c r="D39" s="218">
        <v>6.9000000000000006E-2</v>
      </c>
      <c r="E39" s="218">
        <v>6.6000000000000003E-2</v>
      </c>
      <c r="F39" s="55" t="s">
        <v>79</v>
      </c>
      <c r="G39" s="56">
        <v>0</v>
      </c>
      <c r="H39" s="57"/>
      <c r="I39" s="58"/>
      <c r="J39" s="59"/>
      <c r="K39" s="218">
        <f t="shared" ref="K39" si="17">+IF(E39&lt;=0.12,(J41),(IF(E39&lt;0.16,((J40+2*J41+J42)/4),IF(E39&gt;=0.16,((J39+3*J40+2*J41+3*J42+J43)/10)))))</f>
        <v>0.126</v>
      </c>
      <c r="L39" s="218">
        <f t="shared" ref="L39" si="18">ROUND(+(D34+D39)/2*(C39-C34),3)</f>
        <v>7.0000000000000001E-3</v>
      </c>
      <c r="M39" s="218">
        <f t="shared" ref="M39" si="19">ROUND(+K39*L39,4)</f>
        <v>8.9999999999999998E-4</v>
      </c>
      <c r="N39" s="221">
        <f t="shared" ref="N39" si="20">ROUND(+M39/$M$108*100,2)</f>
        <v>4.5199999999999996</v>
      </c>
      <c r="O39" s="224"/>
      <c r="P39" s="227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s="54" customFormat="1" ht="14.1" customHeight="1" x14ac:dyDescent="0.25">
      <c r="A40" s="46"/>
      <c r="B40" s="231"/>
      <c r="C40" s="234"/>
      <c r="D40" s="219"/>
      <c r="E40" s="219"/>
      <c r="F40" s="60" t="s">
        <v>80</v>
      </c>
      <c r="G40" s="61" t="str">
        <f t="shared" ref="G40" si="21">IF(E39&lt;0.125,"NA",IF(0.125&lt;=E39,(0.2*E39)))</f>
        <v>NA</v>
      </c>
      <c r="H40" s="62"/>
      <c r="I40" s="63"/>
      <c r="J40" s="64"/>
      <c r="K40" s="219"/>
      <c r="L40" s="219"/>
      <c r="M40" s="219"/>
      <c r="N40" s="222"/>
      <c r="O40" s="225"/>
      <c r="P40" s="228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s="54" customFormat="1" ht="14.1" customHeight="1" x14ac:dyDescent="0.25">
      <c r="A41" s="46"/>
      <c r="B41" s="231"/>
      <c r="C41" s="234"/>
      <c r="D41" s="219"/>
      <c r="E41" s="219"/>
      <c r="F41" s="60" t="s">
        <v>81</v>
      </c>
      <c r="G41" s="61">
        <f t="shared" ref="G41" si="22">+E39*0.4</f>
        <v>2.6400000000000003E-2</v>
      </c>
      <c r="H41" s="62"/>
      <c r="I41" s="63"/>
      <c r="J41" s="64">
        <v>0.126</v>
      </c>
      <c r="K41" s="219"/>
      <c r="L41" s="219"/>
      <c r="M41" s="219"/>
      <c r="N41" s="222"/>
      <c r="O41" s="225"/>
      <c r="P41" s="228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s="54" customFormat="1" ht="14.1" customHeight="1" x14ac:dyDescent="0.25">
      <c r="A42" s="46"/>
      <c r="B42" s="231"/>
      <c r="C42" s="234"/>
      <c r="D42" s="219"/>
      <c r="E42" s="219"/>
      <c r="F42" s="60" t="s">
        <v>82</v>
      </c>
      <c r="G42" s="61" t="str">
        <f t="shared" ref="G42" si="23">IF(E39&lt;0.125,"NA",IF(0.125&lt;=E39,(0.8*E39)))</f>
        <v>NA</v>
      </c>
      <c r="H42" s="62"/>
      <c r="I42" s="63"/>
      <c r="J42" s="64"/>
      <c r="K42" s="219"/>
      <c r="L42" s="219"/>
      <c r="M42" s="219"/>
      <c r="N42" s="222"/>
      <c r="O42" s="225"/>
      <c r="P42" s="228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s="54" customFormat="1" ht="14.1" customHeight="1" thickBot="1" x14ac:dyDescent="0.3">
      <c r="A43" s="46"/>
      <c r="B43" s="232"/>
      <c r="C43" s="235"/>
      <c r="D43" s="220"/>
      <c r="E43" s="220"/>
      <c r="F43" s="65" t="s">
        <v>83</v>
      </c>
      <c r="G43" s="66">
        <f t="shared" ref="G43" si="24">+E39</f>
        <v>6.6000000000000003E-2</v>
      </c>
      <c r="H43" s="67"/>
      <c r="I43" s="68"/>
      <c r="J43" s="69">
        <v>0.20200000000000001</v>
      </c>
      <c r="K43" s="220"/>
      <c r="L43" s="220"/>
      <c r="M43" s="220"/>
      <c r="N43" s="223"/>
      <c r="O43" s="226"/>
      <c r="P43" s="229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s="54" customFormat="1" ht="14.1" customHeight="1" x14ac:dyDescent="0.25">
      <c r="A44" s="46"/>
      <c r="B44" s="230">
        <v>6</v>
      </c>
      <c r="C44" s="233">
        <f t="shared" ref="C44" si="25">+C39+$N$12</f>
        <v>7.0999999999999979</v>
      </c>
      <c r="D44" s="218">
        <v>7.9000000000000001E-2</v>
      </c>
      <c r="E44" s="218">
        <v>7.9000000000000001E-2</v>
      </c>
      <c r="F44" s="55" t="s">
        <v>79</v>
      </c>
      <c r="G44" s="56">
        <v>0</v>
      </c>
      <c r="H44" s="57"/>
      <c r="I44" s="58"/>
      <c r="J44" s="59"/>
      <c r="K44" s="218">
        <f t="shared" ref="K44" si="26">+IF(E44&lt;=0.12,(J46),(IF(E44&lt;0.16,((J45+2*J46+J47)/4),IF(E44&gt;=0.16,((J44+3*J45+2*J46+3*J47+J48)/10)))))</f>
        <v>0.13500000000000001</v>
      </c>
      <c r="L44" s="218">
        <f t="shared" ref="L44" si="27">ROUND(+(D39+D44)/2*(C44-C39),3)</f>
        <v>7.0000000000000001E-3</v>
      </c>
      <c r="M44" s="218">
        <f t="shared" ref="M44" si="28">ROUND(+K44*L44,4)</f>
        <v>8.9999999999999998E-4</v>
      </c>
      <c r="N44" s="221">
        <f t="shared" ref="N44" si="29">ROUND(+M44/$M$108*100,2)</f>
        <v>4.5199999999999996</v>
      </c>
      <c r="O44" s="224"/>
      <c r="P44" s="227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s="54" customFormat="1" ht="14.1" customHeight="1" x14ac:dyDescent="0.25">
      <c r="A45" s="46"/>
      <c r="B45" s="231"/>
      <c r="C45" s="234"/>
      <c r="D45" s="219"/>
      <c r="E45" s="219"/>
      <c r="F45" s="60" t="s">
        <v>80</v>
      </c>
      <c r="G45" s="61" t="str">
        <f t="shared" ref="G45" si="30">IF(E44&lt;0.125,"NA",IF(0.125&lt;=E44,(0.2*E44)))</f>
        <v>NA</v>
      </c>
      <c r="H45" s="62"/>
      <c r="I45" s="63"/>
      <c r="J45" s="64"/>
      <c r="K45" s="219"/>
      <c r="L45" s="219"/>
      <c r="M45" s="219"/>
      <c r="N45" s="222"/>
      <c r="O45" s="225"/>
      <c r="P45" s="228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s="54" customFormat="1" ht="14.1" customHeight="1" x14ac:dyDescent="0.25">
      <c r="A46" s="46"/>
      <c r="B46" s="231"/>
      <c r="C46" s="234"/>
      <c r="D46" s="219"/>
      <c r="E46" s="219"/>
      <c r="F46" s="60" t="s">
        <v>81</v>
      </c>
      <c r="G46" s="61">
        <f t="shared" ref="G46" si="31">+E44*0.4</f>
        <v>3.1600000000000003E-2</v>
      </c>
      <c r="H46" s="62"/>
      <c r="I46" s="63"/>
      <c r="J46" s="64">
        <v>0.13500000000000001</v>
      </c>
      <c r="K46" s="219"/>
      <c r="L46" s="219"/>
      <c r="M46" s="219"/>
      <c r="N46" s="222"/>
      <c r="O46" s="225"/>
      <c r="P46" s="228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s="54" customFormat="1" ht="14.1" customHeight="1" x14ac:dyDescent="0.25">
      <c r="A47" s="46"/>
      <c r="B47" s="231"/>
      <c r="C47" s="234"/>
      <c r="D47" s="219"/>
      <c r="E47" s="219"/>
      <c r="F47" s="60" t="s">
        <v>82</v>
      </c>
      <c r="G47" s="61" t="str">
        <f t="shared" ref="G47" si="32">IF(E44&lt;0.125,"NA",IF(0.125&lt;=E44,(0.8*E44)))</f>
        <v>NA</v>
      </c>
      <c r="H47" s="62"/>
      <c r="I47" s="63"/>
      <c r="J47" s="64"/>
      <c r="K47" s="219"/>
      <c r="L47" s="219"/>
      <c r="M47" s="219"/>
      <c r="N47" s="222"/>
      <c r="O47" s="225"/>
      <c r="P47" s="228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s="54" customFormat="1" ht="14.1" customHeight="1" thickBot="1" x14ac:dyDescent="0.3">
      <c r="A48" s="46"/>
      <c r="B48" s="232"/>
      <c r="C48" s="235"/>
      <c r="D48" s="220"/>
      <c r="E48" s="220"/>
      <c r="F48" s="65" t="s">
        <v>83</v>
      </c>
      <c r="G48" s="66">
        <f t="shared" ref="G48" si="33">+E44</f>
        <v>7.9000000000000001E-2</v>
      </c>
      <c r="H48" s="67"/>
      <c r="I48" s="68"/>
      <c r="J48" s="69">
        <v>0.19400000000000001</v>
      </c>
      <c r="K48" s="220"/>
      <c r="L48" s="220"/>
      <c r="M48" s="220"/>
      <c r="N48" s="223"/>
      <c r="O48" s="226"/>
      <c r="P48" s="229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s="54" customFormat="1" ht="14.1" customHeight="1" x14ac:dyDescent="0.25">
      <c r="A49" s="46"/>
      <c r="B49" s="230">
        <v>7</v>
      </c>
      <c r="C49" s="233">
        <f t="shared" ref="C49" si="34">+C44+$N$12</f>
        <v>7.1999999999999975</v>
      </c>
      <c r="D49" s="218">
        <v>7.9000000000000001E-2</v>
      </c>
      <c r="E49" s="218">
        <v>8.5000000000000006E-2</v>
      </c>
      <c r="F49" s="55" t="s">
        <v>79</v>
      </c>
      <c r="G49" s="56">
        <v>0</v>
      </c>
      <c r="H49" s="57"/>
      <c r="I49" s="58"/>
      <c r="J49" s="59"/>
      <c r="K49" s="218">
        <f t="shared" ref="K49" si="35">+IF(E49&lt;=0.12,(J51),(IF(E49&lt;0.16,((J50+2*J51+J52)/4),IF(E49&gt;=0.16,((J49+3*J50+2*J51+3*J52+J53)/10)))))</f>
        <v>0.30599999999999999</v>
      </c>
      <c r="L49" s="218">
        <f t="shared" ref="L49" si="36">ROUND(+(D44+D49)/2*(C49-C44),3)</f>
        <v>8.0000000000000002E-3</v>
      </c>
      <c r="M49" s="218">
        <f t="shared" ref="M49" si="37">ROUND(+K49*L49,4)</f>
        <v>2.3999999999999998E-3</v>
      </c>
      <c r="N49" s="221">
        <f t="shared" ref="N49" si="38">ROUND(+M49/$M$108*100,2)</f>
        <v>12.06</v>
      </c>
      <c r="O49" s="224"/>
      <c r="P49" s="227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s="54" customFormat="1" ht="14.1" customHeight="1" x14ac:dyDescent="0.25">
      <c r="A50" s="46"/>
      <c r="B50" s="231"/>
      <c r="C50" s="234"/>
      <c r="D50" s="219"/>
      <c r="E50" s="219"/>
      <c r="F50" s="60" t="s">
        <v>80</v>
      </c>
      <c r="G50" s="61" t="str">
        <f t="shared" ref="G50" si="39">IF(E49&lt;0.125,"NA",IF(0.125&lt;=E49,(0.2*E49)))</f>
        <v>NA</v>
      </c>
      <c r="H50" s="62"/>
      <c r="I50" s="63"/>
      <c r="J50" s="64"/>
      <c r="K50" s="219"/>
      <c r="L50" s="219"/>
      <c r="M50" s="219"/>
      <c r="N50" s="222"/>
      <c r="O50" s="225"/>
      <c r="P50" s="228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s="54" customFormat="1" ht="14.1" customHeight="1" x14ac:dyDescent="0.25">
      <c r="A51" s="46"/>
      <c r="B51" s="231"/>
      <c r="C51" s="234"/>
      <c r="D51" s="219"/>
      <c r="E51" s="219"/>
      <c r="F51" s="60" t="s">
        <v>81</v>
      </c>
      <c r="G51" s="61">
        <f t="shared" ref="G51" si="40">+E49*0.4</f>
        <v>3.4000000000000002E-2</v>
      </c>
      <c r="H51" s="62"/>
      <c r="I51" s="63"/>
      <c r="J51" s="64">
        <v>0.30599999999999999</v>
      </c>
      <c r="K51" s="219"/>
      <c r="L51" s="219"/>
      <c r="M51" s="219"/>
      <c r="N51" s="222"/>
      <c r="O51" s="225"/>
      <c r="P51" s="228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s="54" customFormat="1" ht="14.1" customHeight="1" x14ac:dyDescent="0.25">
      <c r="A52" s="46"/>
      <c r="B52" s="231"/>
      <c r="C52" s="234"/>
      <c r="D52" s="219"/>
      <c r="E52" s="219"/>
      <c r="F52" s="60" t="s">
        <v>82</v>
      </c>
      <c r="G52" s="61" t="str">
        <f t="shared" ref="G52" si="41">IF(E49&lt;0.125,"NA",IF(0.125&lt;=E49,(0.8*E49)))</f>
        <v>NA</v>
      </c>
      <c r="H52" s="62"/>
      <c r="I52" s="63"/>
      <c r="J52" s="64"/>
      <c r="K52" s="219"/>
      <c r="L52" s="219"/>
      <c r="M52" s="219"/>
      <c r="N52" s="222"/>
      <c r="O52" s="225"/>
      <c r="P52" s="228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s="54" customFormat="1" ht="14.1" customHeight="1" thickBot="1" x14ac:dyDescent="0.3">
      <c r="A53" s="46"/>
      <c r="B53" s="232"/>
      <c r="C53" s="235"/>
      <c r="D53" s="220"/>
      <c r="E53" s="220"/>
      <c r="F53" s="65" t="s">
        <v>83</v>
      </c>
      <c r="G53" s="66">
        <f t="shared" ref="G53" si="42">+E49</f>
        <v>8.5000000000000006E-2</v>
      </c>
      <c r="H53" s="67"/>
      <c r="I53" s="68"/>
      <c r="J53" s="69">
        <v>0.317</v>
      </c>
      <c r="K53" s="220"/>
      <c r="L53" s="220"/>
      <c r="M53" s="220"/>
      <c r="N53" s="223"/>
      <c r="O53" s="226"/>
      <c r="P53" s="229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s="54" customFormat="1" ht="14.1" customHeight="1" x14ac:dyDescent="0.25">
      <c r="A54" s="46"/>
      <c r="B54" s="230">
        <v>8</v>
      </c>
      <c r="C54" s="233">
        <f t="shared" ref="C54" si="43">+C49+$N$12</f>
        <v>7.2999999999999972</v>
      </c>
      <c r="D54" s="218">
        <v>8.2000000000000003E-2</v>
      </c>
      <c r="E54" s="218">
        <v>8.2000000000000003E-2</v>
      </c>
      <c r="F54" s="55" t="s">
        <v>79</v>
      </c>
      <c r="G54" s="56">
        <v>0</v>
      </c>
      <c r="H54" s="57"/>
      <c r="I54" s="58"/>
      <c r="J54" s="59"/>
      <c r="K54" s="218">
        <f t="shared" ref="K54" si="44">+IF(E54&lt;=0.12,(J56),(IF(E54&lt;0.16,((J55+2*J56+J57)/4),IF(E54&gt;=0.16,((J54+3*J55+2*J56+3*J57+J58)/10)))))</f>
        <v>0.32800000000000001</v>
      </c>
      <c r="L54" s="218">
        <f t="shared" ref="L54" si="45">ROUND(+(D49+D54)/2*(C54-C49),3)</f>
        <v>8.0000000000000002E-3</v>
      </c>
      <c r="M54" s="218">
        <f t="shared" ref="M54" si="46">ROUND(+K54*L54,4)</f>
        <v>2.5999999999999999E-3</v>
      </c>
      <c r="N54" s="221">
        <f t="shared" ref="N54" si="47">ROUND(+M54/$M$108*100,2)</f>
        <v>13.07</v>
      </c>
      <c r="O54" s="224"/>
      <c r="P54" s="227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s="54" customFormat="1" ht="14.1" customHeight="1" x14ac:dyDescent="0.25">
      <c r="A55" s="46"/>
      <c r="B55" s="231"/>
      <c r="C55" s="234"/>
      <c r="D55" s="219"/>
      <c r="E55" s="219"/>
      <c r="F55" s="60" t="s">
        <v>80</v>
      </c>
      <c r="G55" s="61" t="str">
        <f t="shared" ref="G55" si="48">IF(E54&lt;0.125,"NA",IF(0.125&lt;=E54,(0.2*E54)))</f>
        <v>NA</v>
      </c>
      <c r="H55" s="62"/>
      <c r="I55" s="63"/>
      <c r="J55" s="64"/>
      <c r="K55" s="219"/>
      <c r="L55" s="219"/>
      <c r="M55" s="219"/>
      <c r="N55" s="222"/>
      <c r="O55" s="225"/>
      <c r="P55" s="228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s="54" customFormat="1" ht="14.1" customHeight="1" x14ac:dyDescent="0.25">
      <c r="A56" s="46"/>
      <c r="B56" s="231"/>
      <c r="C56" s="234"/>
      <c r="D56" s="219"/>
      <c r="E56" s="219"/>
      <c r="F56" s="60" t="s">
        <v>81</v>
      </c>
      <c r="G56" s="61">
        <f t="shared" ref="G56" si="49">+E54*0.4</f>
        <v>3.2800000000000003E-2</v>
      </c>
      <c r="H56" s="62"/>
      <c r="I56" s="63"/>
      <c r="J56" s="64">
        <v>0.32800000000000001</v>
      </c>
      <c r="K56" s="219"/>
      <c r="L56" s="219"/>
      <c r="M56" s="219"/>
      <c r="N56" s="222"/>
      <c r="O56" s="225"/>
      <c r="P56" s="228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s="54" customFormat="1" ht="14.1" customHeight="1" x14ac:dyDescent="0.25">
      <c r="A57" s="46"/>
      <c r="B57" s="231"/>
      <c r="C57" s="234"/>
      <c r="D57" s="219"/>
      <c r="E57" s="219"/>
      <c r="F57" s="60" t="s">
        <v>82</v>
      </c>
      <c r="G57" s="61" t="str">
        <f t="shared" ref="G57" si="50">IF(E54&lt;0.125,"NA",IF(0.125&lt;=E54,(0.8*E54)))</f>
        <v>NA</v>
      </c>
      <c r="H57" s="62"/>
      <c r="I57" s="63"/>
      <c r="J57" s="64"/>
      <c r="K57" s="219"/>
      <c r="L57" s="219"/>
      <c r="M57" s="219"/>
      <c r="N57" s="222"/>
      <c r="O57" s="225"/>
      <c r="P57" s="228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s="54" customFormat="1" ht="14.1" customHeight="1" thickBot="1" x14ac:dyDescent="0.3">
      <c r="A58" s="46"/>
      <c r="B58" s="232"/>
      <c r="C58" s="235"/>
      <c r="D58" s="220"/>
      <c r="E58" s="220"/>
      <c r="F58" s="65" t="s">
        <v>83</v>
      </c>
      <c r="G58" s="66">
        <f t="shared" ref="G58" si="51">+E54</f>
        <v>8.2000000000000003E-2</v>
      </c>
      <c r="H58" s="67"/>
      <c r="I58" s="68"/>
      <c r="J58" s="69">
        <v>0.30499999999999999</v>
      </c>
      <c r="K58" s="220"/>
      <c r="L58" s="220"/>
      <c r="M58" s="220"/>
      <c r="N58" s="223"/>
      <c r="O58" s="226"/>
      <c r="P58" s="229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s="54" customFormat="1" ht="14.1" customHeight="1" x14ac:dyDescent="0.25">
      <c r="A59" s="46"/>
      <c r="B59" s="230">
        <v>9</v>
      </c>
      <c r="C59" s="233">
        <f t="shared" ref="C59" si="52">+C54+$N$12</f>
        <v>7.3999999999999968</v>
      </c>
      <c r="D59" s="218">
        <v>8.5999999999999993E-2</v>
      </c>
      <c r="E59" s="218">
        <v>9.0999999999999998E-2</v>
      </c>
      <c r="F59" s="55" t="s">
        <v>79</v>
      </c>
      <c r="G59" s="56">
        <v>0</v>
      </c>
      <c r="H59" s="57"/>
      <c r="I59" s="58"/>
      <c r="J59" s="59"/>
      <c r="K59" s="218">
        <f t="shared" ref="K59" si="53">+IF(E59&lt;=0.12,(J61),(IF(E59&lt;0.16,((J60+2*J61+J62)/4),IF(E59&gt;=0.16,((J59+3*J60+2*J61+3*J62+J63)/10)))))</f>
        <v>0.29099999999999998</v>
      </c>
      <c r="L59" s="218">
        <f t="shared" ref="L59" si="54">ROUND(+(D54+D59)/2*(C59-C54),3)</f>
        <v>8.0000000000000002E-3</v>
      </c>
      <c r="M59" s="218">
        <f t="shared" ref="M59" si="55">ROUND(+K59*L59,4)</f>
        <v>2.3E-3</v>
      </c>
      <c r="N59" s="221">
        <f t="shared" ref="N59" si="56">ROUND(+M59/$M$108*100,2)</f>
        <v>11.56</v>
      </c>
      <c r="O59" s="224"/>
      <c r="P59" s="227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s="54" customFormat="1" ht="14.1" customHeight="1" x14ac:dyDescent="0.25">
      <c r="A60" s="46"/>
      <c r="B60" s="231"/>
      <c r="C60" s="234"/>
      <c r="D60" s="219"/>
      <c r="E60" s="219"/>
      <c r="F60" s="60" t="s">
        <v>80</v>
      </c>
      <c r="G60" s="61" t="str">
        <f t="shared" ref="G60" si="57">IF(E59&lt;0.125,"NA",IF(0.125&lt;=E59,(0.2*E59)))</f>
        <v>NA</v>
      </c>
      <c r="H60" s="62"/>
      <c r="I60" s="63"/>
      <c r="J60" s="64"/>
      <c r="K60" s="219"/>
      <c r="L60" s="219"/>
      <c r="M60" s="219"/>
      <c r="N60" s="222"/>
      <c r="O60" s="225"/>
      <c r="P60" s="228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s="54" customFormat="1" ht="14.1" customHeight="1" x14ac:dyDescent="0.25">
      <c r="A61" s="46"/>
      <c r="B61" s="231"/>
      <c r="C61" s="234"/>
      <c r="D61" s="219"/>
      <c r="E61" s="219"/>
      <c r="F61" s="60" t="s">
        <v>81</v>
      </c>
      <c r="G61" s="61">
        <f t="shared" ref="G61" si="58">+E59*0.4</f>
        <v>3.6400000000000002E-2</v>
      </c>
      <c r="H61" s="62"/>
      <c r="I61" s="63"/>
      <c r="J61" s="64">
        <v>0.29099999999999998</v>
      </c>
      <c r="K61" s="219"/>
      <c r="L61" s="219"/>
      <c r="M61" s="219"/>
      <c r="N61" s="222"/>
      <c r="O61" s="225"/>
      <c r="P61" s="228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s="54" customFormat="1" ht="14.1" customHeight="1" x14ac:dyDescent="0.25">
      <c r="A62" s="46"/>
      <c r="B62" s="231"/>
      <c r="C62" s="234"/>
      <c r="D62" s="219"/>
      <c r="E62" s="219"/>
      <c r="F62" s="60" t="s">
        <v>82</v>
      </c>
      <c r="G62" s="61" t="str">
        <f t="shared" ref="G62" si="59">IF(E59&lt;0.125,"NA",IF(0.125&lt;=E59,(0.8*E59)))</f>
        <v>NA</v>
      </c>
      <c r="H62" s="62"/>
      <c r="I62" s="63"/>
      <c r="J62" s="64"/>
      <c r="K62" s="219"/>
      <c r="L62" s="219"/>
      <c r="M62" s="219"/>
      <c r="N62" s="222"/>
      <c r="O62" s="225"/>
      <c r="P62" s="228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s="54" customFormat="1" ht="14.1" customHeight="1" thickBot="1" x14ac:dyDescent="0.3">
      <c r="A63" s="46"/>
      <c r="B63" s="232"/>
      <c r="C63" s="235"/>
      <c r="D63" s="220"/>
      <c r="E63" s="220"/>
      <c r="F63" s="65" t="s">
        <v>83</v>
      </c>
      <c r="G63" s="66">
        <f t="shared" ref="G63" si="60">+E59</f>
        <v>9.0999999999999998E-2</v>
      </c>
      <c r="H63" s="67"/>
      <c r="I63" s="68"/>
      <c r="J63" s="69">
        <v>0.33400000000000002</v>
      </c>
      <c r="K63" s="220"/>
      <c r="L63" s="220"/>
      <c r="M63" s="220"/>
      <c r="N63" s="223"/>
      <c r="O63" s="226"/>
      <c r="P63" s="229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s="54" customFormat="1" ht="14.1" customHeight="1" x14ac:dyDescent="0.25">
      <c r="A64" s="46"/>
      <c r="B64" s="230">
        <v>10</v>
      </c>
      <c r="C64" s="233">
        <f t="shared" ref="C64" si="61">+C59+$N$12</f>
        <v>7.4999999999999964</v>
      </c>
      <c r="D64" s="218">
        <v>0.104</v>
      </c>
      <c r="E64" s="218">
        <v>0.10100000000000001</v>
      </c>
      <c r="F64" s="55" t="s">
        <v>79</v>
      </c>
      <c r="G64" s="56">
        <v>0</v>
      </c>
      <c r="H64" s="57"/>
      <c r="I64" s="58"/>
      <c r="J64" s="59"/>
      <c r="K64" s="218">
        <f t="shared" ref="K64" si="62">+IF(E64&lt;=0.12,(J66),(IF(E64&lt;0.16,((J65+2*J66+J67)/4),IF(E64&gt;=0.16,((J64+3*J65+2*J66+3*J67+J68)/10)))))</f>
        <v>0.313</v>
      </c>
      <c r="L64" s="218">
        <f t="shared" ref="L64" si="63">ROUND(+(D59+D64)/2*(C64-C59),3)</f>
        <v>8.9999999999999993E-3</v>
      </c>
      <c r="M64" s="218">
        <f t="shared" ref="M64" si="64">ROUND(+K64*L64,4)</f>
        <v>2.8E-3</v>
      </c>
      <c r="N64" s="221">
        <f t="shared" ref="N64" si="65">ROUND(+M64/$M$108*100,2)</f>
        <v>14.07</v>
      </c>
      <c r="O64" s="224"/>
      <c r="P64" s="227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s="54" customFormat="1" ht="14.1" customHeight="1" x14ac:dyDescent="0.25">
      <c r="A65" s="46"/>
      <c r="B65" s="231"/>
      <c r="C65" s="234"/>
      <c r="D65" s="219"/>
      <c r="E65" s="219"/>
      <c r="F65" s="60" t="s">
        <v>80</v>
      </c>
      <c r="G65" s="61" t="str">
        <f t="shared" ref="G65" si="66">IF(E64&lt;0.125,"NA",IF(0.125&lt;=E64,(0.2*E64)))</f>
        <v>NA</v>
      </c>
      <c r="H65" s="62"/>
      <c r="I65" s="63"/>
      <c r="J65" s="64"/>
      <c r="K65" s="219"/>
      <c r="L65" s="219"/>
      <c r="M65" s="219"/>
      <c r="N65" s="222"/>
      <c r="O65" s="225"/>
      <c r="P65" s="228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s="54" customFormat="1" ht="14.1" customHeight="1" x14ac:dyDescent="0.25">
      <c r="A66" s="46"/>
      <c r="B66" s="231"/>
      <c r="C66" s="234"/>
      <c r="D66" s="219"/>
      <c r="E66" s="219"/>
      <c r="F66" s="60" t="s">
        <v>81</v>
      </c>
      <c r="G66" s="61">
        <f t="shared" ref="G66" si="67">+E64*0.4</f>
        <v>4.0400000000000005E-2</v>
      </c>
      <c r="H66" s="62"/>
      <c r="I66" s="63"/>
      <c r="J66" s="64">
        <v>0.313</v>
      </c>
      <c r="K66" s="219"/>
      <c r="L66" s="219"/>
      <c r="M66" s="219"/>
      <c r="N66" s="222"/>
      <c r="O66" s="225"/>
      <c r="P66" s="228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s="54" customFormat="1" ht="14.1" customHeight="1" x14ac:dyDescent="0.25">
      <c r="A67" s="46"/>
      <c r="B67" s="231"/>
      <c r="C67" s="234"/>
      <c r="D67" s="219"/>
      <c r="E67" s="219"/>
      <c r="F67" s="60" t="s">
        <v>82</v>
      </c>
      <c r="G67" s="61" t="str">
        <f t="shared" ref="G67" si="68">IF(E64&lt;0.125,"NA",IF(0.125&lt;=E64,(0.8*E64)))</f>
        <v>NA</v>
      </c>
      <c r="H67" s="62"/>
      <c r="I67" s="63"/>
      <c r="J67" s="64"/>
      <c r="K67" s="219"/>
      <c r="L67" s="219"/>
      <c r="M67" s="219"/>
      <c r="N67" s="222"/>
      <c r="O67" s="225"/>
      <c r="P67" s="228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s="54" customFormat="1" ht="14.1" customHeight="1" thickBot="1" x14ac:dyDescent="0.3">
      <c r="A68" s="46"/>
      <c r="B68" s="232"/>
      <c r="C68" s="235"/>
      <c r="D68" s="220"/>
      <c r="E68" s="220"/>
      <c r="F68" s="65" t="s">
        <v>83</v>
      </c>
      <c r="G68" s="66">
        <f t="shared" ref="G68" si="69">+E64</f>
        <v>0.10100000000000001</v>
      </c>
      <c r="H68" s="67"/>
      <c r="I68" s="68"/>
      <c r="J68" s="69">
        <v>0.32200000000000001</v>
      </c>
      <c r="K68" s="220"/>
      <c r="L68" s="220"/>
      <c r="M68" s="220"/>
      <c r="N68" s="223"/>
      <c r="O68" s="226"/>
      <c r="P68" s="229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s="54" customFormat="1" ht="14.1" customHeight="1" x14ac:dyDescent="0.25">
      <c r="A69" s="46"/>
      <c r="B69" s="230">
        <v>11</v>
      </c>
      <c r="C69" s="233">
        <f t="shared" ref="C69" si="70">+C64+$N$12</f>
        <v>7.5999999999999961</v>
      </c>
      <c r="D69" s="218">
        <v>0.10299999999999999</v>
      </c>
      <c r="E69" s="218">
        <v>0.10199999999999999</v>
      </c>
      <c r="F69" s="55" t="s">
        <v>79</v>
      </c>
      <c r="G69" s="56">
        <v>0</v>
      </c>
      <c r="H69" s="57"/>
      <c r="I69" s="58"/>
      <c r="J69" s="59"/>
      <c r="K69" s="218">
        <f t="shared" ref="K69" si="71">+IF(E69&lt;=0.12,(J71),(IF(E69&lt;0.16,((J70+2*J71+J72)/4),IF(E69&gt;=0.16,((J69+3*J70+2*J71+3*J72+J73)/10)))))</f>
        <v>0.24299999999999999</v>
      </c>
      <c r="L69" s="218">
        <f t="shared" ref="L69" si="72">ROUND(+(D64+D69)/2*(C69-C64),3)</f>
        <v>0.01</v>
      </c>
      <c r="M69" s="218">
        <f t="shared" ref="M69" si="73">ROUND(+K69*L69,4)</f>
        <v>2.3999999999999998E-3</v>
      </c>
      <c r="N69" s="221">
        <f t="shared" ref="N69" si="74">ROUND(+M69/$M$108*100,2)</f>
        <v>12.06</v>
      </c>
      <c r="O69" s="224"/>
      <c r="P69" s="227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s="54" customFormat="1" ht="14.1" customHeight="1" x14ac:dyDescent="0.25">
      <c r="A70" s="46"/>
      <c r="B70" s="231"/>
      <c r="C70" s="234"/>
      <c r="D70" s="219"/>
      <c r="E70" s="219"/>
      <c r="F70" s="60" t="s">
        <v>80</v>
      </c>
      <c r="G70" s="61" t="str">
        <f t="shared" ref="G70" si="75">IF(E69&lt;0.125,"NA",IF(0.125&lt;=E69,(0.2*E69)))</f>
        <v>NA</v>
      </c>
      <c r="H70" s="62"/>
      <c r="I70" s="63"/>
      <c r="J70" s="64"/>
      <c r="K70" s="219"/>
      <c r="L70" s="219"/>
      <c r="M70" s="219"/>
      <c r="N70" s="222"/>
      <c r="O70" s="225"/>
      <c r="P70" s="228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s="54" customFormat="1" ht="14.1" customHeight="1" x14ac:dyDescent="0.25">
      <c r="A71" s="46"/>
      <c r="B71" s="231"/>
      <c r="C71" s="234"/>
      <c r="D71" s="219"/>
      <c r="E71" s="219"/>
      <c r="F71" s="60" t="s">
        <v>81</v>
      </c>
      <c r="G71" s="61">
        <f t="shared" ref="G71" si="76">+E69*0.4</f>
        <v>4.0800000000000003E-2</v>
      </c>
      <c r="H71" s="62"/>
      <c r="I71" s="63"/>
      <c r="J71" s="64">
        <v>0.24299999999999999</v>
      </c>
      <c r="K71" s="219"/>
      <c r="L71" s="219"/>
      <c r="M71" s="219"/>
      <c r="N71" s="222"/>
      <c r="O71" s="225"/>
      <c r="P71" s="228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s="54" customFormat="1" ht="14.1" customHeight="1" x14ac:dyDescent="0.25">
      <c r="A72" s="46"/>
      <c r="B72" s="231"/>
      <c r="C72" s="234"/>
      <c r="D72" s="219"/>
      <c r="E72" s="219"/>
      <c r="F72" s="60" t="s">
        <v>82</v>
      </c>
      <c r="G72" s="61" t="str">
        <f t="shared" ref="G72" si="77">IF(E69&lt;0.125,"NA",IF(0.125&lt;=E69,(0.8*E69)))</f>
        <v>NA</v>
      </c>
      <c r="H72" s="62"/>
      <c r="I72" s="63"/>
      <c r="J72" s="64"/>
      <c r="K72" s="219"/>
      <c r="L72" s="219"/>
      <c r="M72" s="219"/>
      <c r="N72" s="222"/>
      <c r="O72" s="225"/>
      <c r="P72" s="228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s="54" customFormat="1" ht="14.1" customHeight="1" thickBot="1" x14ac:dyDescent="0.3">
      <c r="A73" s="46"/>
      <c r="B73" s="232"/>
      <c r="C73" s="235"/>
      <c r="D73" s="220"/>
      <c r="E73" s="220"/>
      <c r="F73" s="65" t="s">
        <v>83</v>
      </c>
      <c r="G73" s="66">
        <f t="shared" ref="G73" si="78">+E69</f>
        <v>0.10199999999999999</v>
      </c>
      <c r="H73" s="67"/>
      <c r="I73" s="68"/>
      <c r="J73" s="69">
        <v>0.37</v>
      </c>
      <c r="K73" s="220"/>
      <c r="L73" s="220"/>
      <c r="M73" s="220"/>
      <c r="N73" s="223"/>
      <c r="O73" s="226"/>
      <c r="P73" s="229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s="54" customFormat="1" ht="14.1" customHeight="1" x14ac:dyDescent="0.25">
      <c r="A74" s="46"/>
      <c r="B74" s="230">
        <v>12</v>
      </c>
      <c r="C74" s="233">
        <f t="shared" ref="C74" si="79">+C69+$N$12</f>
        <v>7.6999999999999957</v>
      </c>
      <c r="D74" s="218">
        <v>0.104</v>
      </c>
      <c r="E74" s="218">
        <v>0.104</v>
      </c>
      <c r="F74" s="55" t="s">
        <v>79</v>
      </c>
      <c r="G74" s="56">
        <v>0</v>
      </c>
      <c r="H74" s="57"/>
      <c r="I74" s="58"/>
      <c r="J74" s="59"/>
      <c r="K74" s="218">
        <f t="shared" ref="K74" si="80">+IF(E74&lt;=0.12,(J76),(IF(E74&lt;0.16,((J75+2*J76+J77)/4),IF(E74&gt;=0.16,((J74+3*J75+2*J76+3*J77+J78)/10)))))</f>
        <v>0.26100000000000001</v>
      </c>
      <c r="L74" s="218">
        <f t="shared" ref="L74" si="81">ROUND(+(D69+D74)/2*(C74-C69),3)</f>
        <v>0.01</v>
      </c>
      <c r="M74" s="218">
        <f t="shared" ref="M74" si="82">ROUND(+K74*L74,4)</f>
        <v>2.5999999999999999E-3</v>
      </c>
      <c r="N74" s="221">
        <f t="shared" ref="N74" si="83">ROUND(+M74/$M$108*100,2)</f>
        <v>13.07</v>
      </c>
      <c r="O74" s="224"/>
      <c r="P74" s="227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s="54" customFormat="1" ht="14.1" customHeight="1" x14ac:dyDescent="0.25">
      <c r="A75" s="46"/>
      <c r="B75" s="231"/>
      <c r="C75" s="234"/>
      <c r="D75" s="219"/>
      <c r="E75" s="219"/>
      <c r="F75" s="60" t="s">
        <v>80</v>
      </c>
      <c r="G75" s="61" t="str">
        <f t="shared" ref="G75" si="84">IF(E74&lt;0.125,"NA",IF(0.125&lt;=E74,(0.2*E74)))</f>
        <v>NA</v>
      </c>
      <c r="H75" s="62"/>
      <c r="I75" s="63"/>
      <c r="J75" s="64"/>
      <c r="K75" s="219"/>
      <c r="L75" s="219"/>
      <c r="M75" s="219"/>
      <c r="N75" s="222"/>
      <c r="O75" s="225"/>
      <c r="P75" s="228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s="54" customFormat="1" ht="14.1" customHeight="1" x14ac:dyDescent="0.25">
      <c r="A76" s="46"/>
      <c r="B76" s="231"/>
      <c r="C76" s="234"/>
      <c r="D76" s="219"/>
      <c r="E76" s="219"/>
      <c r="F76" s="60" t="s">
        <v>81</v>
      </c>
      <c r="G76" s="61">
        <f t="shared" ref="G76" si="85">+E74*0.4</f>
        <v>4.1599999999999998E-2</v>
      </c>
      <c r="H76" s="62"/>
      <c r="I76" s="63"/>
      <c r="J76" s="64">
        <v>0.26100000000000001</v>
      </c>
      <c r="K76" s="219"/>
      <c r="L76" s="219"/>
      <c r="M76" s="219"/>
      <c r="N76" s="222"/>
      <c r="O76" s="225"/>
      <c r="P76" s="228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s="54" customFormat="1" ht="14.1" customHeight="1" x14ac:dyDescent="0.25">
      <c r="A77" s="46"/>
      <c r="B77" s="231"/>
      <c r="C77" s="234"/>
      <c r="D77" s="219"/>
      <c r="E77" s="219"/>
      <c r="F77" s="60" t="s">
        <v>82</v>
      </c>
      <c r="G77" s="61" t="str">
        <f t="shared" ref="G77" si="86">IF(E74&lt;0.125,"NA",IF(0.125&lt;=E74,(0.8*E74)))</f>
        <v>NA</v>
      </c>
      <c r="H77" s="62"/>
      <c r="I77" s="63"/>
      <c r="J77" s="64"/>
      <c r="K77" s="219"/>
      <c r="L77" s="219"/>
      <c r="M77" s="219"/>
      <c r="N77" s="222"/>
      <c r="O77" s="225"/>
      <c r="P77" s="228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s="54" customFormat="1" ht="14.1" customHeight="1" thickBot="1" x14ac:dyDescent="0.3">
      <c r="A78" s="46"/>
      <c r="B78" s="232"/>
      <c r="C78" s="235"/>
      <c r="D78" s="220"/>
      <c r="E78" s="220"/>
      <c r="F78" s="65" t="s">
        <v>83</v>
      </c>
      <c r="G78" s="66">
        <f t="shared" ref="G78" si="87">+E74</f>
        <v>0.104</v>
      </c>
      <c r="H78" s="67"/>
      <c r="I78" s="68"/>
      <c r="J78" s="69">
        <v>0.35699999999999998</v>
      </c>
      <c r="K78" s="220"/>
      <c r="L78" s="220"/>
      <c r="M78" s="220"/>
      <c r="N78" s="223"/>
      <c r="O78" s="226"/>
      <c r="P78" s="229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s="54" customFormat="1" ht="14.1" customHeight="1" x14ac:dyDescent="0.25">
      <c r="A79" s="46"/>
      <c r="B79" s="230">
        <v>13</v>
      </c>
      <c r="C79" s="233">
        <f t="shared" ref="C79" si="88">+C74+$N$12</f>
        <v>7.7999999999999954</v>
      </c>
      <c r="D79" s="218">
        <v>0.104</v>
      </c>
      <c r="E79" s="218">
        <v>0.104</v>
      </c>
      <c r="F79" s="55" t="s">
        <v>79</v>
      </c>
      <c r="G79" s="56">
        <v>0</v>
      </c>
      <c r="H79" s="57"/>
      <c r="I79" s="58"/>
      <c r="J79" s="59"/>
      <c r="K79" s="218">
        <f t="shared" ref="K79" si="89">+IF(E79&lt;=0.12,(J81),(IF(E79&lt;0.16,((J80+2*J81+J82)/4),IF(E79&gt;=0.16,((J79+3*J80+2*J81+3*J82+J83)/10)))))</f>
        <v>6.3E-2</v>
      </c>
      <c r="L79" s="218">
        <f t="shared" ref="L79" si="90">ROUND(+(D74+D79)/2*(C79-C74),3)</f>
        <v>0.01</v>
      </c>
      <c r="M79" s="218">
        <f t="shared" ref="M79" si="91">ROUND(+K79*L79,4)</f>
        <v>5.9999999999999995E-4</v>
      </c>
      <c r="N79" s="221">
        <f t="shared" ref="N79" si="92">ROUND(+M79/$M$108*100,2)</f>
        <v>3.02</v>
      </c>
      <c r="O79" s="224"/>
      <c r="P79" s="227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s="54" customFormat="1" ht="14.1" customHeight="1" x14ac:dyDescent="0.25">
      <c r="A80" s="46"/>
      <c r="B80" s="231"/>
      <c r="C80" s="234"/>
      <c r="D80" s="219"/>
      <c r="E80" s="219"/>
      <c r="F80" s="60" t="s">
        <v>80</v>
      </c>
      <c r="G80" s="61" t="str">
        <f t="shared" ref="G80" si="93">IF(E79&lt;0.125,"NA",IF(0.125&lt;=E79,(0.2*E79)))</f>
        <v>NA</v>
      </c>
      <c r="H80" s="62"/>
      <c r="I80" s="63"/>
      <c r="J80" s="64"/>
      <c r="K80" s="219"/>
      <c r="L80" s="219"/>
      <c r="M80" s="219"/>
      <c r="N80" s="222"/>
      <c r="O80" s="225"/>
      <c r="P80" s="228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s="54" customFormat="1" ht="14.1" customHeight="1" x14ac:dyDescent="0.25">
      <c r="A81" s="46"/>
      <c r="B81" s="231"/>
      <c r="C81" s="234"/>
      <c r="D81" s="219"/>
      <c r="E81" s="219"/>
      <c r="F81" s="60" t="s">
        <v>81</v>
      </c>
      <c r="G81" s="61">
        <f t="shared" ref="G81" si="94">+E79*0.4</f>
        <v>4.1599999999999998E-2</v>
      </c>
      <c r="H81" s="62"/>
      <c r="I81" s="63"/>
      <c r="J81" s="64">
        <v>6.3E-2</v>
      </c>
      <c r="K81" s="219"/>
      <c r="L81" s="219"/>
      <c r="M81" s="219"/>
      <c r="N81" s="222"/>
      <c r="O81" s="225"/>
      <c r="P81" s="228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s="54" customFormat="1" ht="14.1" customHeight="1" x14ac:dyDescent="0.25">
      <c r="A82" s="46"/>
      <c r="B82" s="231"/>
      <c r="C82" s="234"/>
      <c r="D82" s="219"/>
      <c r="E82" s="219"/>
      <c r="F82" s="60" t="s">
        <v>82</v>
      </c>
      <c r="G82" s="61" t="str">
        <f t="shared" ref="G82" si="95">IF(E79&lt;0.125,"NA",IF(0.125&lt;=E79,(0.8*E79)))</f>
        <v>NA</v>
      </c>
      <c r="H82" s="62"/>
      <c r="I82" s="63"/>
      <c r="J82" s="64"/>
      <c r="K82" s="219"/>
      <c r="L82" s="219"/>
      <c r="M82" s="219"/>
      <c r="N82" s="222"/>
      <c r="O82" s="225"/>
      <c r="P82" s="228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s="54" customFormat="1" ht="14.1" customHeight="1" thickBot="1" x14ac:dyDescent="0.3">
      <c r="A83" s="46"/>
      <c r="B83" s="232"/>
      <c r="C83" s="235"/>
      <c r="D83" s="220"/>
      <c r="E83" s="220"/>
      <c r="F83" s="65" t="s">
        <v>83</v>
      </c>
      <c r="G83" s="66">
        <f t="shared" ref="G83" si="96">+E79</f>
        <v>0.104</v>
      </c>
      <c r="H83" s="67"/>
      <c r="I83" s="68"/>
      <c r="J83" s="69">
        <v>0.16900000000000001</v>
      </c>
      <c r="K83" s="220"/>
      <c r="L83" s="220"/>
      <c r="M83" s="220"/>
      <c r="N83" s="223"/>
      <c r="O83" s="226"/>
      <c r="P83" s="229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s="54" customFormat="1" ht="14.1" customHeight="1" x14ac:dyDescent="0.25">
      <c r="A84" s="46"/>
      <c r="B84" s="230">
        <v>14</v>
      </c>
      <c r="C84" s="233">
        <f t="shared" ref="C84" si="97">+C79+$N$12</f>
        <v>7.899999999999995</v>
      </c>
      <c r="D84" s="218">
        <v>0.108</v>
      </c>
      <c r="E84" s="218">
        <v>0.10100000000000001</v>
      </c>
      <c r="F84" s="55" t="s">
        <v>79</v>
      </c>
      <c r="G84" s="56">
        <v>0</v>
      </c>
      <c r="H84" s="57"/>
      <c r="I84" s="58"/>
      <c r="J84" s="59"/>
      <c r="K84" s="218">
        <f t="shared" ref="K84" si="98">+IF(E84&lt;=0.12,(J86),(IF(E84&lt;0.16,((J85+2*J86+J87)/4),IF(E84&gt;=0.16,((J84+3*J85+2*J86+3*J87+J88)/10)))))</f>
        <v>6.7000000000000004E-2</v>
      </c>
      <c r="L84" s="218">
        <f t="shared" ref="L84" si="99">ROUND(+(D79+D84)/2*(C84-C79),3)</f>
        <v>1.0999999999999999E-2</v>
      </c>
      <c r="M84" s="218">
        <f t="shared" ref="M84" si="100">ROUND(+K84*L84,4)</f>
        <v>6.9999999999999999E-4</v>
      </c>
      <c r="N84" s="221">
        <f t="shared" ref="N84" si="101">ROUND(+M84/$M$108*100,2)</f>
        <v>3.52</v>
      </c>
      <c r="O84" s="224"/>
      <c r="P84" s="227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s="54" customFormat="1" ht="14.1" customHeight="1" x14ac:dyDescent="0.25">
      <c r="A85" s="46"/>
      <c r="B85" s="231"/>
      <c r="C85" s="234"/>
      <c r="D85" s="219"/>
      <c r="E85" s="219"/>
      <c r="F85" s="60" t="s">
        <v>80</v>
      </c>
      <c r="G85" s="61" t="str">
        <f t="shared" ref="G85" si="102">IF(E84&lt;0.125,"NA",IF(0.125&lt;=E84,(0.2*E84)))</f>
        <v>NA</v>
      </c>
      <c r="H85" s="62"/>
      <c r="I85" s="63"/>
      <c r="J85" s="64"/>
      <c r="K85" s="219"/>
      <c r="L85" s="219"/>
      <c r="M85" s="219"/>
      <c r="N85" s="222"/>
      <c r="O85" s="225"/>
      <c r="P85" s="228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s="54" customFormat="1" ht="14.1" customHeight="1" x14ac:dyDescent="0.25">
      <c r="A86" s="46"/>
      <c r="B86" s="231"/>
      <c r="C86" s="234"/>
      <c r="D86" s="219"/>
      <c r="E86" s="219"/>
      <c r="F86" s="60" t="s">
        <v>81</v>
      </c>
      <c r="G86" s="61">
        <f t="shared" ref="G86" si="103">+E84*0.4</f>
        <v>4.0400000000000005E-2</v>
      </c>
      <c r="H86" s="62"/>
      <c r="I86" s="63"/>
      <c r="J86" s="64">
        <v>6.7000000000000004E-2</v>
      </c>
      <c r="K86" s="219"/>
      <c r="L86" s="219"/>
      <c r="M86" s="219"/>
      <c r="N86" s="222"/>
      <c r="O86" s="225"/>
      <c r="P86" s="228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s="54" customFormat="1" ht="14.1" customHeight="1" x14ac:dyDescent="0.25">
      <c r="A87" s="46"/>
      <c r="B87" s="231"/>
      <c r="C87" s="234"/>
      <c r="D87" s="219"/>
      <c r="E87" s="219"/>
      <c r="F87" s="60" t="s">
        <v>82</v>
      </c>
      <c r="G87" s="61" t="str">
        <f t="shared" ref="G87" si="104">IF(E84&lt;0.125,"NA",IF(0.125&lt;=E84,(0.8*E84)))</f>
        <v>NA</v>
      </c>
      <c r="H87" s="62"/>
      <c r="I87" s="63"/>
      <c r="J87" s="64"/>
      <c r="K87" s="219"/>
      <c r="L87" s="219"/>
      <c r="M87" s="219"/>
      <c r="N87" s="222"/>
      <c r="O87" s="225"/>
      <c r="P87" s="228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s="54" customFormat="1" ht="14.1" customHeight="1" thickBot="1" x14ac:dyDescent="0.3">
      <c r="A88" s="46"/>
      <c r="B88" s="232"/>
      <c r="C88" s="235"/>
      <c r="D88" s="220"/>
      <c r="E88" s="220"/>
      <c r="F88" s="65" t="s">
        <v>83</v>
      </c>
      <c r="G88" s="66">
        <f t="shared" ref="G88" si="105">+E84</f>
        <v>0.10100000000000001</v>
      </c>
      <c r="H88" s="67"/>
      <c r="I88" s="68"/>
      <c r="J88" s="69">
        <v>0.16200000000000001</v>
      </c>
      <c r="K88" s="220"/>
      <c r="L88" s="220"/>
      <c r="M88" s="220"/>
      <c r="N88" s="223"/>
      <c r="O88" s="226"/>
      <c r="P88" s="229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s="3" customFormat="1" ht="13.9" customHeight="1" x14ac:dyDescent="0.2">
      <c r="B89" s="236" t="s">
        <v>28</v>
      </c>
      <c r="C89" s="239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1"/>
    </row>
    <row r="90" spans="1:26" s="3" customFormat="1" ht="14.1" customHeight="1" x14ac:dyDescent="0.2">
      <c r="B90" s="237"/>
      <c r="C90" s="242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4"/>
    </row>
    <row r="91" spans="1:26" s="3" customFormat="1" ht="14.1" customHeight="1" x14ac:dyDescent="0.2">
      <c r="B91" s="237"/>
      <c r="C91" s="242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4"/>
    </row>
    <row r="92" spans="1:26" s="3" customFormat="1" ht="14.1" customHeight="1" x14ac:dyDescent="0.2">
      <c r="B92" s="237"/>
      <c r="C92" s="242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4"/>
    </row>
    <row r="93" spans="1:26" s="3" customFormat="1" ht="14.1" customHeight="1" x14ac:dyDescent="0.2">
      <c r="B93" s="237"/>
      <c r="C93" s="242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4"/>
    </row>
    <row r="94" spans="1:26" s="3" customFormat="1" ht="14.1" customHeight="1" thickBot="1" x14ac:dyDescent="0.25">
      <c r="B94" s="238"/>
      <c r="C94" s="245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7"/>
    </row>
    <row r="95" spans="1:26" s="3" customFormat="1" ht="28.5" customHeight="1" thickBot="1" x14ac:dyDescent="0.25">
      <c r="A95" s="70"/>
      <c r="B95" s="71" t="s">
        <v>84</v>
      </c>
      <c r="C95" s="249" t="s">
        <v>85</v>
      </c>
      <c r="D95" s="249"/>
      <c r="E95" s="249"/>
      <c r="F95" s="249"/>
      <c r="G95" s="249"/>
      <c r="H95" s="250"/>
      <c r="I95" s="251"/>
      <c r="J95" s="71" t="s">
        <v>86</v>
      </c>
      <c r="K95" s="249" t="s">
        <v>87</v>
      </c>
      <c r="L95" s="249"/>
      <c r="M95" s="249"/>
      <c r="N95" s="249"/>
      <c r="O95" s="249"/>
      <c r="P95" s="250"/>
    </row>
    <row r="96" spans="1:26" s="3" customFormat="1" ht="28.5" customHeight="1" thickBot="1" x14ac:dyDescent="0.25">
      <c r="B96" s="72" t="s">
        <v>88</v>
      </c>
      <c r="C96" s="253" t="s">
        <v>89</v>
      </c>
      <c r="D96" s="253"/>
      <c r="E96" s="253"/>
      <c r="F96" s="253"/>
      <c r="G96" s="253"/>
      <c r="H96" s="254"/>
      <c r="I96" s="252"/>
      <c r="J96" s="72" t="s">
        <v>90</v>
      </c>
      <c r="K96" s="253" t="s">
        <v>91</v>
      </c>
      <c r="L96" s="253"/>
      <c r="M96" s="253"/>
      <c r="N96" s="253"/>
      <c r="O96" s="253"/>
      <c r="P96" s="254"/>
    </row>
    <row r="97" spans="1:26" s="19" customFormat="1" ht="13.5" customHeight="1" x14ac:dyDescent="0.25">
      <c r="A97" s="73"/>
      <c r="B97" s="255"/>
      <c r="C97" s="258"/>
      <c r="D97" s="261"/>
      <c r="E97" s="261"/>
      <c r="F97" s="74" t="s">
        <v>79</v>
      </c>
      <c r="G97" s="74">
        <v>0.01</v>
      </c>
      <c r="H97" s="75"/>
      <c r="I97" s="76"/>
      <c r="J97" s="77"/>
      <c r="K97" s="263"/>
      <c r="L97" s="276"/>
      <c r="M97" s="277"/>
      <c r="N97" s="276"/>
      <c r="O97" s="276"/>
      <c r="P97" s="2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s="19" customFormat="1" ht="13.5" customHeight="1" x14ac:dyDescent="0.25">
      <c r="A98" s="73"/>
      <c r="B98" s="256"/>
      <c r="C98" s="259"/>
      <c r="D98" s="259"/>
      <c r="E98" s="259"/>
      <c r="F98" s="79" t="s">
        <v>92</v>
      </c>
      <c r="G98" s="80">
        <f>+E97*0.1</f>
        <v>0</v>
      </c>
      <c r="H98" s="81"/>
      <c r="I98" s="82"/>
      <c r="J98" s="83"/>
      <c r="K98" s="259"/>
      <c r="L98" s="259"/>
      <c r="M98" s="259"/>
      <c r="N98" s="259"/>
      <c r="O98" s="259"/>
      <c r="P98" s="279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s="19" customFormat="1" ht="13.5" customHeight="1" x14ac:dyDescent="0.25">
      <c r="A99" s="73"/>
      <c r="B99" s="256"/>
      <c r="C99" s="259"/>
      <c r="D99" s="259"/>
      <c r="E99" s="259"/>
      <c r="F99" s="79" t="s">
        <v>93</v>
      </c>
      <c r="G99" s="80">
        <f>+E97*0.2</f>
        <v>0</v>
      </c>
      <c r="H99" s="81"/>
      <c r="I99" s="82"/>
      <c r="J99" s="83"/>
      <c r="K99" s="259"/>
      <c r="L99" s="259"/>
      <c r="M99" s="259"/>
      <c r="N99" s="259"/>
      <c r="O99" s="259"/>
      <c r="P99" s="279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s="19" customFormat="1" ht="13.5" customHeight="1" x14ac:dyDescent="0.25">
      <c r="A100" s="73"/>
      <c r="B100" s="256"/>
      <c r="C100" s="259"/>
      <c r="D100" s="259"/>
      <c r="E100" s="259"/>
      <c r="F100" s="79" t="s">
        <v>94</v>
      </c>
      <c r="G100" s="80">
        <f>+E97*0.3</f>
        <v>0</v>
      </c>
      <c r="H100" s="81"/>
      <c r="I100" s="82"/>
      <c r="J100" s="83"/>
      <c r="K100" s="259"/>
      <c r="L100" s="259"/>
      <c r="M100" s="259"/>
      <c r="N100" s="259"/>
      <c r="O100" s="259"/>
      <c r="P100" s="279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s="19" customFormat="1" ht="13.5" customHeight="1" x14ac:dyDescent="0.25">
      <c r="A101" s="73"/>
      <c r="B101" s="256"/>
      <c r="C101" s="260"/>
      <c r="D101" s="260"/>
      <c r="E101" s="259"/>
      <c r="F101" s="79" t="s">
        <v>95</v>
      </c>
      <c r="G101" s="80">
        <f>+E97*0.4</f>
        <v>0</v>
      </c>
      <c r="H101" s="81"/>
      <c r="I101" s="82"/>
      <c r="J101" s="83"/>
      <c r="K101" s="259"/>
      <c r="L101" s="259"/>
      <c r="M101" s="259"/>
      <c r="N101" s="259"/>
      <c r="O101" s="259"/>
      <c r="P101" s="279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s="19" customFormat="1" ht="13.5" customHeight="1" x14ac:dyDescent="0.25">
      <c r="A102" s="73"/>
      <c r="B102" s="256"/>
      <c r="C102" s="281"/>
      <c r="D102" s="282"/>
      <c r="E102" s="259"/>
      <c r="F102" s="79" t="s">
        <v>29</v>
      </c>
      <c r="G102" s="80">
        <f>+E97*0.5</f>
        <v>0</v>
      </c>
      <c r="H102" s="81"/>
      <c r="I102" s="82"/>
      <c r="J102" s="83"/>
      <c r="K102" s="259"/>
      <c r="L102" s="259"/>
      <c r="M102" s="259"/>
      <c r="N102" s="259"/>
      <c r="O102" s="259"/>
      <c r="P102" s="279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s="19" customFormat="1" ht="13.5" customHeight="1" x14ac:dyDescent="0.25">
      <c r="A103" s="73"/>
      <c r="B103" s="256"/>
      <c r="C103" s="259"/>
      <c r="D103" s="259"/>
      <c r="E103" s="259"/>
      <c r="F103" s="79" t="s">
        <v>96</v>
      </c>
      <c r="G103" s="80">
        <f>+E97*0.6</f>
        <v>0</v>
      </c>
      <c r="H103" s="81"/>
      <c r="I103" s="82"/>
      <c r="J103" s="83"/>
      <c r="K103" s="259"/>
      <c r="L103" s="259"/>
      <c r="M103" s="259"/>
      <c r="N103" s="259"/>
      <c r="O103" s="259"/>
      <c r="P103" s="279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s="19" customFormat="1" ht="13.5" customHeight="1" x14ac:dyDescent="0.25">
      <c r="A104" s="73"/>
      <c r="B104" s="256"/>
      <c r="C104" s="259"/>
      <c r="D104" s="259"/>
      <c r="E104" s="259"/>
      <c r="F104" s="79" t="s">
        <v>97</v>
      </c>
      <c r="G104" s="80">
        <f>+E97*0.7</f>
        <v>0</v>
      </c>
      <c r="H104" s="81"/>
      <c r="I104" s="82"/>
      <c r="J104" s="83"/>
      <c r="K104" s="259"/>
      <c r="L104" s="259"/>
      <c r="M104" s="259"/>
      <c r="N104" s="259"/>
      <c r="O104" s="259"/>
      <c r="P104" s="279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s="19" customFormat="1" ht="13.5" customHeight="1" x14ac:dyDescent="0.25">
      <c r="A105" s="73"/>
      <c r="B105" s="256"/>
      <c r="C105" s="259"/>
      <c r="D105" s="259"/>
      <c r="E105" s="259"/>
      <c r="F105" s="79" t="s">
        <v>98</v>
      </c>
      <c r="G105" s="80">
        <f>+E97*0.8</f>
        <v>0</v>
      </c>
      <c r="H105" s="81"/>
      <c r="I105" s="82"/>
      <c r="J105" s="83"/>
      <c r="K105" s="259"/>
      <c r="L105" s="259"/>
      <c r="M105" s="259"/>
      <c r="N105" s="259"/>
      <c r="O105" s="259"/>
      <c r="P105" s="279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s="19" customFormat="1" ht="13.5" customHeight="1" x14ac:dyDescent="0.25">
      <c r="A106" s="73"/>
      <c r="B106" s="256"/>
      <c r="C106" s="259"/>
      <c r="D106" s="259"/>
      <c r="E106" s="259"/>
      <c r="F106" s="79" t="s">
        <v>99</v>
      </c>
      <c r="G106" s="80">
        <f>+E97*0.9</f>
        <v>0</v>
      </c>
      <c r="H106" s="81"/>
      <c r="I106" s="82"/>
      <c r="J106" s="83"/>
      <c r="K106" s="259"/>
      <c r="L106" s="259"/>
      <c r="M106" s="259"/>
      <c r="N106" s="259"/>
      <c r="O106" s="259"/>
      <c r="P106" s="279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s="19" customFormat="1" ht="15.75" thickBot="1" x14ac:dyDescent="0.3">
      <c r="A107" s="73"/>
      <c r="B107" s="257"/>
      <c r="C107" s="262"/>
      <c r="D107" s="262"/>
      <c r="E107" s="262"/>
      <c r="F107" s="84" t="s">
        <v>30</v>
      </c>
      <c r="G107" s="84">
        <f>+E97</f>
        <v>0</v>
      </c>
      <c r="H107" s="85"/>
      <c r="I107" s="86"/>
      <c r="J107" s="87"/>
      <c r="K107" s="262"/>
      <c r="L107" s="262"/>
      <c r="M107" s="262"/>
      <c r="N107" s="262"/>
      <c r="O107" s="262"/>
      <c r="P107" s="280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s="3" customFormat="1" ht="12.75" x14ac:dyDescent="0.2">
      <c r="A108" s="11"/>
      <c r="B108" s="264" t="s">
        <v>31</v>
      </c>
      <c r="C108" s="264"/>
      <c r="D108" s="264"/>
      <c r="E108" s="264"/>
      <c r="F108" s="264"/>
      <c r="G108" s="264"/>
      <c r="H108" s="264"/>
      <c r="I108" s="264"/>
      <c r="J108" s="264"/>
      <c r="K108" s="16">
        <f>ROUND(+M108/L108,3)</f>
        <v>0.17199999999999999</v>
      </c>
      <c r="L108" s="15">
        <f>SUM(L19:L107)</f>
        <v>0.11599999999999998</v>
      </c>
      <c r="M108" s="14">
        <f>SUM(M19:M107)</f>
        <v>1.9899999999999998E-2</v>
      </c>
      <c r="N108" s="12">
        <f>ROUND(SUM(N19:N107),0)</f>
        <v>100</v>
      </c>
      <c r="O108" s="266" t="s">
        <v>32</v>
      </c>
      <c r="P108" s="268"/>
    </row>
    <row r="109" spans="1:26" s="3" customFormat="1" ht="15" customHeight="1" thickBot="1" x14ac:dyDescent="0.25">
      <c r="A109" s="11"/>
      <c r="B109" s="265"/>
      <c r="C109" s="265"/>
      <c r="D109" s="265"/>
      <c r="E109" s="265"/>
      <c r="F109" s="265"/>
      <c r="G109" s="265"/>
      <c r="H109" s="265"/>
      <c r="I109" s="265"/>
      <c r="J109" s="265"/>
      <c r="K109" s="13" t="s">
        <v>33</v>
      </c>
      <c r="L109" s="13" t="s">
        <v>49</v>
      </c>
      <c r="M109" s="13" t="s">
        <v>106</v>
      </c>
      <c r="N109" s="13" t="s">
        <v>34</v>
      </c>
      <c r="O109" s="267"/>
      <c r="P109" s="269"/>
    </row>
    <row r="110" spans="1:26" ht="15" customHeight="1" thickBot="1" x14ac:dyDescent="0.3">
      <c r="A110" s="5"/>
      <c r="B110" s="270" t="s">
        <v>100</v>
      </c>
      <c r="C110" s="271"/>
      <c r="D110" s="271"/>
      <c r="E110" s="271"/>
      <c r="F110" s="272"/>
      <c r="G110" s="270" t="s">
        <v>101</v>
      </c>
      <c r="H110" s="271"/>
      <c r="I110" s="271"/>
      <c r="J110" s="271"/>
      <c r="K110" s="272"/>
      <c r="L110" s="273" t="s">
        <v>51</v>
      </c>
      <c r="M110" s="274"/>
      <c r="N110" s="274"/>
      <c r="O110" s="274"/>
      <c r="P110" s="275"/>
    </row>
    <row r="111" spans="1:26" ht="15" customHeight="1" x14ac:dyDescent="0.25">
      <c r="A111" s="5"/>
      <c r="B111" s="283"/>
      <c r="C111" s="284"/>
      <c r="D111" s="284"/>
      <c r="E111" s="284"/>
      <c r="F111" s="285"/>
      <c r="G111" s="283"/>
      <c r="H111" s="284"/>
      <c r="I111" s="284"/>
      <c r="J111" s="284"/>
      <c r="K111" s="285"/>
      <c r="L111" s="292" t="s">
        <v>102</v>
      </c>
      <c r="M111" s="293"/>
      <c r="N111" s="293"/>
      <c r="O111" s="328">
        <f>+AVERAGE(E18:E88)</f>
        <v>8.5285714285714284E-2</v>
      </c>
      <c r="P111" s="329"/>
    </row>
    <row r="112" spans="1:26" ht="15" customHeight="1" thickBot="1" x14ac:dyDescent="0.3">
      <c r="A112" s="5"/>
      <c r="B112" s="286"/>
      <c r="C112" s="287"/>
      <c r="D112" s="287"/>
      <c r="E112" s="287"/>
      <c r="F112" s="288"/>
      <c r="G112" s="286"/>
      <c r="H112" s="287"/>
      <c r="I112" s="287"/>
      <c r="J112" s="287"/>
      <c r="K112" s="288"/>
      <c r="L112" s="296" t="s">
        <v>103</v>
      </c>
      <c r="M112" s="297"/>
      <c r="N112" s="297"/>
      <c r="O112" s="330">
        <f>MAX(E18:E88)</f>
        <v>0.104</v>
      </c>
      <c r="P112" s="331"/>
    </row>
    <row r="113" spans="1:16" ht="18.600000000000001" customHeight="1" x14ac:dyDescent="0.25">
      <c r="A113" s="6"/>
      <c r="B113" s="286"/>
      <c r="C113" s="287"/>
      <c r="D113" s="287"/>
      <c r="E113" s="287"/>
      <c r="F113" s="288"/>
      <c r="G113" s="286"/>
      <c r="H113" s="287"/>
      <c r="I113" s="287"/>
      <c r="J113" s="287"/>
      <c r="K113" s="288"/>
      <c r="L113" s="332" t="s">
        <v>107</v>
      </c>
      <c r="M113" s="333"/>
      <c r="N113" s="333"/>
      <c r="O113" s="333"/>
      <c r="P113" s="334"/>
    </row>
    <row r="114" spans="1:16" ht="88.15" customHeight="1" x14ac:dyDescent="0.25">
      <c r="A114" s="10"/>
      <c r="B114" s="286"/>
      <c r="C114" s="287"/>
      <c r="D114" s="287"/>
      <c r="E114" s="287"/>
      <c r="F114" s="288"/>
      <c r="G114" s="286"/>
      <c r="H114" s="287"/>
      <c r="I114" s="287"/>
      <c r="J114" s="287"/>
      <c r="K114" s="288"/>
      <c r="L114" s="332"/>
      <c r="M114" s="333"/>
      <c r="N114" s="333"/>
      <c r="O114" s="333"/>
      <c r="P114" s="334"/>
    </row>
    <row r="115" spans="1:16" ht="15" customHeight="1" thickBot="1" x14ac:dyDescent="0.3">
      <c r="A115" s="5"/>
      <c r="B115" s="286"/>
      <c r="C115" s="287"/>
      <c r="D115" s="287"/>
      <c r="E115" s="287"/>
      <c r="F115" s="288"/>
      <c r="G115" s="286"/>
      <c r="H115" s="287"/>
      <c r="I115" s="287"/>
      <c r="J115" s="287"/>
      <c r="K115" s="288"/>
      <c r="L115" s="335"/>
      <c r="M115" s="336"/>
      <c r="N115" s="336"/>
      <c r="O115" s="336"/>
      <c r="P115" s="337"/>
    </row>
    <row r="116" spans="1:16" ht="15.75" customHeight="1" thickBot="1" x14ac:dyDescent="0.3">
      <c r="A116" s="5"/>
      <c r="B116" s="286"/>
      <c r="C116" s="287"/>
      <c r="D116" s="287"/>
      <c r="E116" s="287"/>
      <c r="F116" s="288"/>
      <c r="G116" s="286"/>
      <c r="H116" s="287"/>
      <c r="I116" s="287"/>
      <c r="J116" s="287"/>
      <c r="K116" s="288"/>
      <c r="L116" s="309" t="s">
        <v>35</v>
      </c>
      <c r="M116" s="310"/>
      <c r="N116" s="310"/>
      <c r="O116" s="310"/>
      <c r="P116" s="100">
        <v>8.69</v>
      </c>
    </row>
    <row r="117" spans="1:16" ht="14.45" customHeight="1" thickBot="1" x14ac:dyDescent="0.3">
      <c r="A117" s="5"/>
      <c r="B117" s="289"/>
      <c r="C117" s="290"/>
      <c r="D117" s="290"/>
      <c r="E117" s="290"/>
      <c r="F117" s="291"/>
      <c r="G117" s="289"/>
      <c r="H117" s="290"/>
      <c r="I117" s="290"/>
      <c r="J117" s="290"/>
      <c r="K117" s="291"/>
      <c r="L117" s="311" t="s">
        <v>50</v>
      </c>
      <c r="M117" s="312"/>
      <c r="N117" s="312"/>
      <c r="O117" s="312"/>
      <c r="P117" s="101">
        <v>0.1348</v>
      </c>
    </row>
    <row r="118" spans="1:16" ht="23.45" customHeight="1" thickBot="1" x14ac:dyDescent="0.3">
      <c r="A118" s="7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</row>
    <row r="119" spans="1:16" ht="15.75" thickBot="1" x14ac:dyDescent="0.3">
      <c r="A119" s="319" t="s">
        <v>36</v>
      </c>
      <c r="B119" s="320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  <c r="M119" s="320"/>
      <c r="N119" s="320"/>
      <c r="O119" s="320"/>
      <c r="P119" s="321"/>
    </row>
    <row r="120" spans="1:16" ht="159" customHeight="1" thickBot="1" x14ac:dyDescent="0.3">
      <c r="A120" s="4"/>
      <c r="B120" s="322"/>
      <c r="C120" s="323"/>
      <c r="D120" s="323"/>
      <c r="E120" s="323"/>
      <c r="F120" s="338"/>
      <c r="G120" s="322"/>
      <c r="H120" s="323"/>
      <c r="I120" s="323"/>
      <c r="J120" s="323"/>
      <c r="K120" s="338"/>
      <c r="L120" s="322"/>
      <c r="M120" s="323"/>
      <c r="N120" s="323"/>
      <c r="O120" s="323"/>
      <c r="P120" s="324"/>
    </row>
    <row r="121" spans="1:16" ht="21.75" customHeight="1" thickBot="1" x14ac:dyDescent="0.3">
      <c r="A121" s="4"/>
      <c r="B121" s="325" t="s">
        <v>52</v>
      </c>
      <c r="C121" s="326"/>
      <c r="D121" s="326"/>
      <c r="E121" s="326"/>
      <c r="F121" s="339"/>
      <c r="G121" s="325" t="s">
        <v>104</v>
      </c>
      <c r="H121" s="326"/>
      <c r="I121" s="326"/>
      <c r="J121" s="326"/>
      <c r="K121" s="339"/>
      <c r="L121" s="325" t="s">
        <v>105</v>
      </c>
      <c r="M121" s="326"/>
      <c r="N121" s="326"/>
      <c r="O121" s="326"/>
      <c r="P121" s="327"/>
    </row>
    <row r="122" spans="1:16" s="9" customFormat="1" ht="16.899999999999999" customHeight="1" thickBot="1" x14ac:dyDescent="0.3">
      <c r="A122" s="8"/>
      <c r="B122" s="313"/>
      <c r="C122" s="313"/>
      <c r="D122" s="313"/>
      <c r="E122" s="313"/>
      <c r="F122" s="313"/>
      <c r="G122" s="313"/>
      <c r="H122" s="313"/>
      <c r="I122" s="313"/>
      <c r="J122" s="313"/>
      <c r="K122" s="313"/>
      <c r="L122" s="313"/>
      <c r="M122" s="313"/>
      <c r="N122" s="313"/>
      <c r="O122" s="313"/>
      <c r="P122" s="314"/>
    </row>
    <row r="123" spans="1:16" s="3" customFormat="1" ht="15.75" customHeight="1" thickBot="1" x14ac:dyDescent="0.25">
      <c r="A123" s="315" t="s">
        <v>37</v>
      </c>
      <c r="B123" s="316"/>
      <c r="C123" s="316"/>
      <c r="D123" s="316" t="s">
        <v>120</v>
      </c>
      <c r="E123" s="316"/>
      <c r="F123" s="316"/>
      <c r="G123" s="316"/>
      <c r="H123" s="316"/>
      <c r="I123" s="316"/>
      <c r="J123" s="316" t="s">
        <v>38</v>
      </c>
      <c r="K123" s="316"/>
      <c r="L123" s="316"/>
      <c r="M123" s="316"/>
      <c r="N123" s="316"/>
      <c r="O123" s="316"/>
      <c r="P123" s="317"/>
    </row>
  </sheetData>
  <mergeCells count="245">
    <mergeCell ref="B122:P122"/>
    <mergeCell ref="A123:C123"/>
    <mergeCell ref="D123:I123"/>
    <mergeCell ref="J123:K123"/>
    <mergeCell ref="L123:P123"/>
    <mergeCell ref="B118:P118"/>
    <mergeCell ref="A119:P119"/>
    <mergeCell ref="B120:F120"/>
    <mergeCell ref="G120:K120"/>
    <mergeCell ref="L120:P120"/>
    <mergeCell ref="B121:F121"/>
    <mergeCell ref="G121:K121"/>
    <mergeCell ref="L121:P121"/>
    <mergeCell ref="B111:F117"/>
    <mergeCell ref="G111:K117"/>
    <mergeCell ref="L111:N111"/>
    <mergeCell ref="O111:P111"/>
    <mergeCell ref="L112:N112"/>
    <mergeCell ref="O112:P112"/>
    <mergeCell ref="L113:P115"/>
    <mergeCell ref="L116:O116"/>
    <mergeCell ref="L117:O117"/>
    <mergeCell ref="B108:J109"/>
    <mergeCell ref="O108:O109"/>
    <mergeCell ref="P108:P109"/>
    <mergeCell ref="B110:F110"/>
    <mergeCell ref="G110:K110"/>
    <mergeCell ref="L110:P110"/>
    <mergeCell ref="L97:L107"/>
    <mergeCell ref="M97:M107"/>
    <mergeCell ref="N97:N107"/>
    <mergeCell ref="O97:O107"/>
    <mergeCell ref="P97:P107"/>
    <mergeCell ref="C102:C107"/>
    <mergeCell ref="D102:D107"/>
    <mergeCell ref="C95:H95"/>
    <mergeCell ref="I95:I96"/>
    <mergeCell ref="K95:P95"/>
    <mergeCell ref="C96:H96"/>
    <mergeCell ref="K96:P96"/>
    <mergeCell ref="B97:B107"/>
    <mergeCell ref="C97:C101"/>
    <mergeCell ref="D97:D101"/>
    <mergeCell ref="E97:E107"/>
    <mergeCell ref="K97:K107"/>
    <mergeCell ref="P84:P88"/>
    <mergeCell ref="B89:B94"/>
    <mergeCell ref="C89:P94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B79:B83"/>
    <mergeCell ref="C79:C83"/>
    <mergeCell ref="D79:D83"/>
    <mergeCell ref="E79:E83"/>
    <mergeCell ref="K79:K83"/>
    <mergeCell ref="L79:L83"/>
    <mergeCell ref="M84:M88"/>
    <mergeCell ref="N84:N88"/>
    <mergeCell ref="O84:O88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18"/>
  <sheetViews>
    <sheetView view="pageBreakPreview" topLeftCell="D1" zoomScale="70" zoomScaleSheetLayoutView="7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104"/>
      <c r="B2" s="122"/>
      <c r="C2" s="123"/>
      <c r="D2" s="124"/>
      <c r="E2" s="128" t="s">
        <v>125</v>
      </c>
      <c r="F2" s="129"/>
      <c r="G2" s="129"/>
      <c r="H2" s="129"/>
      <c r="I2" s="129"/>
      <c r="J2" s="129"/>
      <c r="K2" s="129"/>
      <c r="L2" s="129"/>
      <c r="M2" s="129"/>
      <c r="N2" s="129"/>
      <c r="O2" s="132"/>
      <c r="P2" s="133"/>
    </row>
    <row r="3" spans="1:26" s="2" customFormat="1" ht="25.5" customHeight="1" thickBot="1" x14ac:dyDescent="0.3">
      <c r="A3" s="104"/>
      <c r="B3" s="125"/>
      <c r="C3" s="126"/>
      <c r="D3" s="127"/>
      <c r="E3" s="130"/>
      <c r="F3" s="131"/>
      <c r="G3" s="131"/>
      <c r="H3" s="131"/>
      <c r="I3" s="131"/>
      <c r="J3" s="131"/>
      <c r="K3" s="131"/>
      <c r="L3" s="131"/>
      <c r="M3" s="131"/>
      <c r="N3" s="131"/>
      <c r="O3" s="134"/>
      <c r="P3" s="135"/>
    </row>
    <row r="4" spans="1:26" s="19" customFormat="1" ht="11.25" customHeight="1" thickBot="1" x14ac:dyDescent="0.3">
      <c r="A4" s="18"/>
      <c r="B4" s="115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117">
        <v>43106</v>
      </c>
      <c r="D5" s="118"/>
      <c r="E5" s="22" t="s">
        <v>53</v>
      </c>
      <c r="F5" s="23">
        <v>3</v>
      </c>
      <c r="G5" s="24" t="s">
        <v>1</v>
      </c>
      <c r="H5" s="119" t="s">
        <v>126</v>
      </c>
      <c r="I5" s="120"/>
      <c r="J5" s="120"/>
      <c r="K5" s="120"/>
      <c r="L5" s="120"/>
      <c r="M5" s="120"/>
      <c r="N5" s="120"/>
      <c r="O5" s="120"/>
      <c r="P5" s="12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136" t="s">
        <v>2</v>
      </c>
      <c r="C6" s="137"/>
      <c r="D6" s="138" t="s">
        <v>110</v>
      </c>
      <c r="E6" s="139"/>
      <c r="F6" s="139"/>
      <c r="G6" s="139"/>
      <c r="H6" s="139"/>
      <c r="I6" s="140"/>
      <c r="J6" s="28" t="s">
        <v>3</v>
      </c>
      <c r="K6" s="141" t="s">
        <v>111</v>
      </c>
      <c r="L6" s="140"/>
      <c r="M6" s="141" t="s">
        <v>112</v>
      </c>
      <c r="N6" s="142"/>
      <c r="O6" s="29" t="s">
        <v>54</v>
      </c>
      <c r="P6" s="30">
        <v>2020</v>
      </c>
    </row>
    <row r="7" spans="1:26" s="26" customFormat="1" ht="21.75" customHeight="1" x14ac:dyDescent="0.25">
      <c r="B7" s="143" t="s">
        <v>55</v>
      </c>
      <c r="C7" s="145" t="s">
        <v>56</v>
      </c>
      <c r="D7" s="146"/>
      <c r="E7" s="32"/>
      <c r="F7" s="147" t="s">
        <v>57</v>
      </c>
      <c r="G7" s="148"/>
      <c r="H7" s="148"/>
      <c r="I7" s="148"/>
      <c r="J7" s="149" t="s">
        <v>58</v>
      </c>
      <c r="K7" s="150"/>
      <c r="L7" s="150"/>
      <c r="M7" s="151"/>
      <c r="N7" s="152" t="s">
        <v>59</v>
      </c>
      <c r="O7" s="153"/>
      <c r="P7" s="33" t="s">
        <v>60</v>
      </c>
    </row>
    <row r="8" spans="1:26" s="26" customFormat="1" ht="21.75" customHeight="1" thickBot="1" x14ac:dyDescent="0.3">
      <c r="B8" s="144"/>
      <c r="C8" s="154" t="s">
        <v>61</v>
      </c>
      <c r="D8" s="155"/>
      <c r="E8" s="90" t="s">
        <v>4</v>
      </c>
      <c r="F8" s="156" t="s">
        <v>5</v>
      </c>
      <c r="G8" s="157"/>
      <c r="H8" s="157"/>
      <c r="I8" s="157"/>
      <c r="J8" s="158"/>
      <c r="K8" s="159"/>
      <c r="L8" s="159"/>
      <c r="M8" s="160"/>
      <c r="N8" s="161"/>
      <c r="O8" s="162"/>
      <c r="P8" s="34"/>
    </row>
    <row r="9" spans="1:26" s="26" customFormat="1" ht="21.75" customHeight="1" x14ac:dyDescent="0.25">
      <c r="B9" s="163" t="s">
        <v>6</v>
      </c>
      <c r="C9" s="166" t="s">
        <v>62</v>
      </c>
      <c r="D9" s="168" t="s">
        <v>63</v>
      </c>
      <c r="E9" s="169"/>
      <c r="F9" s="35"/>
      <c r="G9" s="170" t="s">
        <v>7</v>
      </c>
      <c r="H9" s="171" t="s">
        <v>8</v>
      </c>
      <c r="I9" s="146"/>
      <c r="J9" s="36"/>
      <c r="K9" s="166" t="s">
        <v>64</v>
      </c>
      <c r="L9" s="172" t="s">
        <v>121</v>
      </c>
      <c r="M9" s="173"/>
      <c r="N9" s="174"/>
      <c r="O9" s="174"/>
      <c r="P9" s="175"/>
    </row>
    <row r="10" spans="1:26" s="26" customFormat="1" ht="21.75" customHeight="1" thickBot="1" x14ac:dyDescent="0.3">
      <c r="B10" s="164"/>
      <c r="C10" s="167"/>
      <c r="D10" s="185" t="s">
        <v>65</v>
      </c>
      <c r="E10" s="155"/>
      <c r="F10" s="91" t="s">
        <v>4</v>
      </c>
      <c r="G10" s="167"/>
      <c r="H10" s="185" t="s">
        <v>9</v>
      </c>
      <c r="I10" s="155"/>
      <c r="J10" s="92" t="s">
        <v>4</v>
      </c>
      <c r="K10" s="167"/>
      <c r="L10" s="176"/>
      <c r="M10" s="177"/>
      <c r="N10" s="177"/>
      <c r="O10" s="177"/>
      <c r="P10" s="178"/>
    </row>
    <row r="11" spans="1:26" s="26" customFormat="1" ht="21.75" customHeight="1" x14ac:dyDescent="0.25">
      <c r="A11" s="20"/>
      <c r="B11" s="164"/>
      <c r="C11" s="186" t="s">
        <v>10</v>
      </c>
      <c r="D11" s="169"/>
      <c r="E11" s="93">
        <v>0.52777777777777779</v>
      </c>
      <c r="F11" s="187" t="s">
        <v>11</v>
      </c>
      <c r="G11" s="169"/>
      <c r="H11" s="94">
        <v>1.1399999999999999</v>
      </c>
      <c r="I11" s="188" t="s">
        <v>12</v>
      </c>
      <c r="J11" s="146"/>
      <c r="K11" s="94">
        <v>18</v>
      </c>
      <c r="L11" s="186" t="s">
        <v>13</v>
      </c>
      <c r="M11" s="169"/>
      <c r="N11" s="95">
        <v>1.4</v>
      </c>
      <c r="O11" s="179" t="s">
        <v>66</v>
      </c>
      <c r="P11" s="180"/>
    </row>
    <row r="12" spans="1:26" s="26" customFormat="1" ht="21.75" customHeight="1" thickBot="1" x14ac:dyDescent="0.3">
      <c r="A12" s="20"/>
      <c r="B12" s="165"/>
      <c r="C12" s="181" t="s">
        <v>14</v>
      </c>
      <c r="D12" s="155"/>
      <c r="E12" s="93">
        <v>0.55902777777777779</v>
      </c>
      <c r="F12" s="154" t="s">
        <v>15</v>
      </c>
      <c r="G12" s="155"/>
      <c r="H12" s="94">
        <v>1.1399999999999999</v>
      </c>
      <c r="I12" s="182" t="s">
        <v>16</v>
      </c>
      <c r="J12" s="155"/>
      <c r="K12" s="93">
        <v>0.53333333333333333</v>
      </c>
      <c r="L12" s="181" t="s">
        <v>17</v>
      </c>
      <c r="M12" s="155"/>
      <c r="N12" s="96">
        <v>0.1</v>
      </c>
      <c r="O12" s="183">
        <v>6.5</v>
      </c>
      <c r="P12" s="184"/>
    </row>
    <row r="13" spans="1:26" s="26" customFormat="1" ht="21.75" customHeight="1" x14ac:dyDescent="0.25">
      <c r="A13" s="20"/>
      <c r="B13" s="204" t="s">
        <v>18</v>
      </c>
      <c r="C13" s="206" t="s">
        <v>67</v>
      </c>
      <c r="D13" s="207"/>
      <c r="E13" s="207"/>
      <c r="F13" s="208" t="s">
        <v>68</v>
      </c>
      <c r="G13" s="207"/>
      <c r="H13" s="207"/>
      <c r="I13" s="207"/>
      <c r="J13" s="208" t="s">
        <v>69</v>
      </c>
      <c r="K13" s="207"/>
      <c r="L13" s="207"/>
      <c r="M13" s="207"/>
      <c r="N13" s="209" t="s">
        <v>70</v>
      </c>
      <c r="O13" s="207"/>
      <c r="P13" s="210"/>
      <c r="Q13" s="37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05"/>
      <c r="C14" s="211" t="s">
        <v>71</v>
      </c>
      <c r="D14" s="212"/>
      <c r="E14" s="212"/>
      <c r="F14" s="213" t="s">
        <v>72</v>
      </c>
      <c r="G14" s="212"/>
      <c r="H14" s="212"/>
      <c r="I14" s="212"/>
      <c r="J14" s="214" t="s">
        <v>73</v>
      </c>
      <c r="K14" s="212"/>
      <c r="L14" s="212"/>
      <c r="M14" s="212"/>
      <c r="N14" s="215"/>
      <c r="O14" s="201"/>
      <c r="P14" s="21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144"/>
      <c r="C15" s="217" t="s">
        <v>74</v>
      </c>
      <c r="D15" s="189"/>
      <c r="E15" s="189"/>
      <c r="F15" s="189" t="s">
        <v>75</v>
      </c>
      <c r="G15" s="190"/>
      <c r="H15" s="190"/>
      <c r="I15" s="190"/>
      <c r="J15" s="189" t="s">
        <v>76</v>
      </c>
      <c r="K15" s="190"/>
      <c r="L15" s="190"/>
      <c r="M15" s="190"/>
      <c r="N15" s="191"/>
      <c r="O15" s="192"/>
      <c r="P15" s="193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194" t="s">
        <v>19</v>
      </c>
      <c r="C16" s="196" t="s">
        <v>20</v>
      </c>
      <c r="D16" s="196" t="s">
        <v>41</v>
      </c>
      <c r="E16" s="198" t="s">
        <v>21</v>
      </c>
      <c r="F16" s="199" t="s">
        <v>42</v>
      </c>
      <c r="G16" s="116"/>
      <c r="H16" s="196" t="s">
        <v>77</v>
      </c>
      <c r="I16" s="202" t="s">
        <v>78</v>
      </c>
      <c r="J16" s="38" t="s">
        <v>43</v>
      </c>
      <c r="K16" s="39"/>
      <c r="L16" s="40" t="s">
        <v>44</v>
      </c>
      <c r="M16" s="40" t="s">
        <v>45</v>
      </c>
      <c r="N16" s="40" t="s">
        <v>45</v>
      </c>
      <c r="O16" s="40" t="s">
        <v>46</v>
      </c>
      <c r="P16" s="41" t="s">
        <v>22</v>
      </c>
    </row>
    <row r="17" spans="1:26" s="26" customFormat="1" ht="21.75" customHeight="1" thickBot="1" x14ac:dyDescent="0.3">
      <c r="A17" s="42"/>
      <c r="B17" s="195"/>
      <c r="C17" s="197"/>
      <c r="D17" s="197"/>
      <c r="E17" s="197"/>
      <c r="F17" s="200"/>
      <c r="G17" s="201"/>
      <c r="H17" s="197"/>
      <c r="I17" s="203"/>
      <c r="J17" s="43" t="s">
        <v>23</v>
      </c>
      <c r="K17" s="44" t="s">
        <v>24</v>
      </c>
      <c r="L17" s="44" t="s">
        <v>47</v>
      </c>
      <c r="M17" s="44" t="s">
        <v>48</v>
      </c>
      <c r="N17" s="44" t="s">
        <v>25</v>
      </c>
      <c r="O17" s="44" t="s">
        <v>26</v>
      </c>
      <c r="P17" s="45" t="s">
        <v>27</v>
      </c>
    </row>
    <row r="18" spans="1:26" s="54" customFormat="1" ht="21.75" customHeight="1" thickBot="1" x14ac:dyDescent="0.3">
      <c r="A18" s="46"/>
      <c r="B18" s="47"/>
      <c r="C18" s="48">
        <f>+O12</f>
        <v>6.5</v>
      </c>
      <c r="D18" s="48">
        <v>3.4000000000000002E-2</v>
      </c>
      <c r="E18" s="49"/>
      <c r="F18" s="50"/>
      <c r="G18" s="89"/>
      <c r="H18" s="51"/>
      <c r="I18" s="52"/>
      <c r="J18" s="88"/>
      <c r="K18" s="49"/>
      <c r="L18" s="49"/>
      <c r="M18" s="49"/>
      <c r="N18" s="49"/>
      <c r="O18" s="49"/>
      <c r="P18" s="53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s="54" customFormat="1" ht="14.1" customHeight="1" x14ac:dyDescent="0.25">
      <c r="A19" s="46"/>
      <c r="B19" s="230">
        <v>1</v>
      </c>
      <c r="C19" s="233">
        <f>+C18+$N$12</f>
        <v>6.6</v>
      </c>
      <c r="D19" s="218">
        <v>5.5E-2</v>
      </c>
      <c r="E19" s="218">
        <v>4.2000000000000003E-2</v>
      </c>
      <c r="F19" s="55" t="s">
        <v>79</v>
      </c>
      <c r="G19" s="56">
        <v>0</v>
      </c>
      <c r="H19" s="57"/>
      <c r="I19" s="58"/>
      <c r="J19" s="59"/>
      <c r="K19" s="218">
        <f>+IF(E19&lt;=0.12,(J21),(IF(E19&lt;0.16,((J20+2*J21+J22)/4),IF(E19&gt;=0.16,((J19+3*J20+2*J21+3*J22+J23)/10)))))</f>
        <v>0.15</v>
      </c>
      <c r="L19" s="218">
        <f>ROUND(+(D18+D19)/2*(C19-C18),3)</f>
        <v>4.0000000000000001E-3</v>
      </c>
      <c r="M19" s="218">
        <f>ROUND(+K19*L19,4)</f>
        <v>5.9999999999999995E-4</v>
      </c>
      <c r="N19" s="221">
        <f>ROUND(+M19/$M$103*100,2)</f>
        <v>3.24</v>
      </c>
      <c r="O19" s="224"/>
      <c r="P19" s="227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s="54" customFormat="1" ht="14.1" customHeight="1" x14ac:dyDescent="0.25">
      <c r="A20" s="46"/>
      <c r="B20" s="231"/>
      <c r="C20" s="234"/>
      <c r="D20" s="219"/>
      <c r="E20" s="219"/>
      <c r="F20" s="60" t="s">
        <v>80</v>
      </c>
      <c r="G20" s="61" t="str">
        <f>IF(E19&lt;0.125,"NA",IF(0.125&lt;=E19,(0.2*E19)))</f>
        <v>NA</v>
      </c>
      <c r="H20" s="62"/>
      <c r="I20" s="63"/>
      <c r="J20" s="64"/>
      <c r="K20" s="219"/>
      <c r="L20" s="219"/>
      <c r="M20" s="219"/>
      <c r="N20" s="222"/>
      <c r="O20" s="225"/>
      <c r="P20" s="228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s="54" customFormat="1" ht="14.1" customHeight="1" x14ac:dyDescent="0.25">
      <c r="A21" s="46"/>
      <c r="B21" s="231"/>
      <c r="C21" s="234"/>
      <c r="D21" s="219"/>
      <c r="E21" s="219"/>
      <c r="F21" s="60" t="s">
        <v>81</v>
      </c>
      <c r="G21" s="61">
        <f>+E19*0.4</f>
        <v>1.6800000000000002E-2</v>
      </c>
      <c r="H21" s="62"/>
      <c r="I21" s="63"/>
      <c r="J21" s="64">
        <v>0.15</v>
      </c>
      <c r="K21" s="219"/>
      <c r="L21" s="219"/>
      <c r="M21" s="219"/>
      <c r="N21" s="222"/>
      <c r="O21" s="225"/>
      <c r="P21" s="228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s="54" customFormat="1" ht="14.1" customHeight="1" x14ac:dyDescent="0.25">
      <c r="A22" s="46"/>
      <c r="B22" s="231"/>
      <c r="C22" s="234"/>
      <c r="D22" s="219"/>
      <c r="E22" s="219"/>
      <c r="F22" s="60" t="s">
        <v>82</v>
      </c>
      <c r="G22" s="61" t="str">
        <f>IF(E19&lt;0.125,"NA",IF(0.125&lt;=E19,(0.8*E19)))</f>
        <v>NA</v>
      </c>
      <c r="H22" s="62"/>
      <c r="I22" s="63"/>
      <c r="J22" s="64"/>
      <c r="K22" s="219"/>
      <c r="L22" s="219"/>
      <c r="M22" s="219"/>
      <c r="N22" s="222"/>
      <c r="O22" s="225"/>
      <c r="P22" s="228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s="54" customFormat="1" ht="14.1" customHeight="1" thickBot="1" x14ac:dyDescent="0.3">
      <c r="A23" s="46"/>
      <c r="B23" s="232"/>
      <c r="C23" s="235"/>
      <c r="D23" s="220"/>
      <c r="E23" s="220"/>
      <c r="F23" s="65" t="s">
        <v>83</v>
      </c>
      <c r="G23" s="66">
        <f>+E19</f>
        <v>4.2000000000000003E-2</v>
      </c>
      <c r="H23" s="67"/>
      <c r="I23" s="68"/>
      <c r="J23" s="69"/>
      <c r="K23" s="220"/>
      <c r="L23" s="220"/>
      <c r="M23" s="220"/>
      <c r="N23" s="223"/>
      <c r="O23" s="226"/>
      <c r="P23" s="229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s="54" customFormat="1" ht="14.1" customHeight="1" x14ac:dyDescent="0.25">
      <c r="A24" s="46"/>
      <c r="B24" s="230">
        <v>2</v>
      </c>
      <c r="C24" s="233">
        <f>+C19+$N$12</f>
        <v>6.6999999999999993</v>
      </c>
      <c r="D24" s="218">
        <v>5.5E-2</v>
      </c>
      <c r="E24" s="218">
        <v>5.8000000000000003E-2</v>
      </c>
      <c r="F24" s="55" t="s">
        <v>79</v>
      </c>
      <c r="G24" s="56">
        <v>0</v>
      </c>
      <c r="H24" s="57"/>
      <c r="I24" s="58"/>
      <c r="J24" s="59"/>
      <c r="K24" s="218">
        <f>+IF(E24&lt;=0.12,(J26),(IF(E24&lt;0.16,((J25+2*J26+J27)/4),IF(E24&gt;=0.16,((J24+3*J25+2*J26+3*J27+J28)/10)))))</f>
        <v>0.121</v>
      </c>
      <c r="L24" s="218">
        <f>ROUND(+(D19+D24)/2*(C24-C19),3)</f>
        <v>5.0000000000000001E-3</v>
      </c>
      <c r="M24" s="218">
        <f>ROUND(+K24*L24,4)</f>
        <v>5.9999999999999995E-4</v>
      </c>
      <c r="N24" s="221">
        <f>ROUND(+M24/$M$103*100,2)</f>
        <v>3.24</v>
      </c>
      <c r="O24" s="224"/>
      <c r="P24" s="227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s="54" customFormat="1" ht="14.1" customHeight="1" x14ac:dyDescent="0.25">
      <c r="A25" s="46"/>
      <c r="B25" s="231"/>
      <c r="C25" s="234"/>
      <c r="D25" s="219"/>
      <c r="E25" s="219"/>
      <c r="F25" s="60" t="s">
        <v>80</v>
      </c>
      <c r="G25" s="61" t="str">
        <f>IF(E24&lt;0.125,"NA",IF(0.125&lt;=E24,(0.2*E24)))</f>
        <v>NA</v>
      </c>
      <c r="H25" s="62"/>
      <c r="I25" s="63"/>
      <c r="J25" s="64"/>
      <c r="K25" s="219"/>
      <c r="L25" s="219"/>
      <c r="M25" s="219"/>
      <c r="N25" s="222"/>
      <c r="O25" s="225"/>
      <c r="P25" s="228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s="54" customFormat="1" ht="14.1" customHeight="1" x14ac:dyDescent="0.25">
      <c r="A26" s="46"/>
      <c r="B26" s="231"/>
      <c r="C26" s="234"/>
      <c r="D26" s="219"/>
      <c r="E26" s="219"/>
      <c r="F26" s="60" t="s">
        <v>81</v>
      </c>
      <c r="G26" s="61">
        <f>+E24*0.4</f>
        <v>2.3200000000000002E-2</v>
      </c>
      <c r="H26" s="62"/>
      <c r="I26" s="63"/>
      <c r="J26" s="64">
        <v>0.121</v>
      </c>
      <c r="K26" s="219"/>
      <c r="L26" s="219"/>
      <c r="M26" s="219"/>
      <c r="N26" s="222"/>
      <c r="O26" s="225"/>
      <c r="P26" s="228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s="54" customFormat="1" ht="14.1" customHeight="1" x14ac:dyDescent="0.25">
      <c r="A27" s="46"/>
      <c r="B27" s="231"/>
      <c r="C27" s="234"/>
      <c r="D27" s="219"/>
      <c r="E27" s="219"/>
      <c r="F27" s="60" t="s">
        <v>82</v>
      </c>
      <c r="G27" s="61" t="str">
        <f>IF(E24&lt;0.125,"NA",IF(0.125&lt;=E24,(0.8*E24)))</f>
        <v>NA</v>
      </c>
      <c r="H27" s="62"/>
      <c r="I27" s="63"/>
      <c r="J27" s="64"/>
      <c r="K27" s="219"/>
      <c r="L27" s="219"/>
      <c r="M27" s="219"/>
      <c r="N27" s="222"/>
      <c r="O27" s="225"/>
      <c r="P27" s="228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s="54" customFormat="1" ht="14.1" customHeight="1" thickBot="1" x14ac:dyDescent="0.3">
      <c r="A28" s="46"/>
      <c r="B28" s="232"/>
      <c r="C28" s="235"/>
      <c r="D28" s="220"/>
      <c r="E28" s="220"/>
      <c r="F28" s="65" t="s">
        <v>83</v>
      </c>
      <c r="G28" s="66">
        <f>+E24</f>
        <v>5.8000000000000003E-2</v>
      </c>
      <c r="H28" s="67"/>
      <c r="I28" s="68"/>
      <c r="J28" s="69"/>
      <c r="K28" s="220"/>
      <c r="L28" s="220"/>
      <c r="M28" s="220"/>
      <c r="N28" s="223"/>
      <c r="O28" s="226"/>
      <c r="P28" s="229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s="54" customFormat="1" ht="14.1" customHeight="1" x14ac:dyDescent="0.25">
      <c r="A29" s="46"/>
      <c r="B29" s="230">
        <v>3</v>
      </c>
      <c r="C29" s="233">
        <f>+C24+$N$12</f>
        <v>6.7999999999999989</v>
      </c>
      <c r="D29" s="218">
        <v>6.7000000000000004E-2</v>
      </c>
      <c r="E29" s="218">
        <v>6.7000000000000004E-2</v>
      </c>
      <c r="F29" s="55" t="s">
        <v>79</v>
      </c>
      <c r="G29" s="56">
        <v>0</v>
      </c>
      <c r="H29" s="57"/>
      <c r="I29" s="58"/>
      <c r="J29" s="59"/>
      <c r="K29" s="218">
        <f>+IF(E29&lt;=0.12,(J31),(IF(E29&lt;0.16,((J30+2*J31+J32)/4),IF(E29&gt;=0.16,((J29+3*J30+2*J31+3*J32+J33)/10)))))</f>
        <v>0.28499999999999998</v>
      </c>
      <c r="L29" s="218">
        <f t="shared" ref="L29" si="0">ROUND(+(D24+D29)/2*(C29-C24),3)</f>
        <v>6.0000000000000001E-3</v>
      </c>
      <c r="M29" s="218">
        <f>ROUND(+K29*L29,4)</f>
        <v>1.6999999999999999E-3</v>
      </c>
      <c r="N29" s="221">
        <f>ROUND(+M29/$M$103*100,2)</f>
        <v>9.19</v>
      </c>
      <c r="O29" s="224"/>
      <c r="P29" s="227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s="54" customFormat="1" ht="14.1" customHeight="1" x14ac:dyDescent="0.25">
      <c r="A30" s="46"/>
      <c r="B30" s="231"/>
      <c r="C30" s="234"/>
      <c r="D30" s="219"/>
      <c r="E30" s="219"/>
      <c r="F30" s="60" t="s">
        <v>80</v>
      </c>
      <c r="G30" s="61" t="str">
        <f t="shared" ref="G30" si="1">IF(E29&lt;0.125,"NA",IF(0.125&lt;=E29,(0.2*E29)))</f>
        <v>NA</v>
      </c>
      <c r="H30" s="62"/>
      <c r="I30" s="63"/>
      <c r="J30" s="64"/>
      <c r="K30" s="219"/>
      <c r="L30" s="219"/>
      <c r="M30" s="219"/>
      <c r="N30" s="222"/>
      <c r="O30" s="225"/>
      <c r="P30" s="228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s="54" customFormat="1" ht="14.1" customHeight="1" x14ac:dyDescent="0.25">
      <c r="A31" s="46"/>
      <c r="B31" s="231"/>
      <c r="C31" s="234"/>
      <c r="D31" s="219"/>
      <c r="E31" s="219"/>
      <c r="F31" s="60" t="s">
        <v>81</v>
      </c>
      <c r="G31" s="61">
        <f t="shared" ref="G31" si="2">+E29*0.4</f>
        <v>2.6800000000000004E-2</v>
      </c>
      <c r="H31" s="62"/>
      <c r="I31" s="63"/>
      <c r="J31" s="64">
        <v>0.28499999999999998</v>
      </c>
      <c r="K31" s="219"/>
      <c r="L31" s="219"/>
      <c r="M31" s="219"/>
      <c r="N31" s="222"/>
      <c r="O31" s="225"/>
      <c r="P31" s="228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s="54" customFormat="1" ht="14.1" customHeight="1" x14ac:dyDescent="0.25">
      <c r="A32" s="46"/>
      <c r="B32" s="231"/>
      <c r="C32" s="234"/>
      <c r="D32" s="219"/>
      <c r="E32" s="219"/>
      <c r="F32" s="60" t="s">
        <v>82</v>
      </c>
      <c r="G32" s="61" t="str">
        <f t="shared" ref="G32" si="3">IF(E29&lt;0.125,"NA",IF(0.125&lt;=E29,(0.8*E29)))</f>
        <v>NA</v>
      </c>
      <c r="H32" s="62"/>
      <c r="I32" s="63"/>
      <c r="J32" s="64"/>
      <c r="K32" s="219"/>
      <c r="L32" s="219"/>
      <c r="M32" s="219"/>
      <c r="N32" s="222"/>
      <c r="O32" s="225"/>
      <c r="P32" s="228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s="54" customFormat="1" ht="14.1" customHeight="1" thickBot="1" x14ac:dyDescent="0.3">
      <c r="A33" s="46"/>
      <c r="B33" s="232"/>
      <c r="C33" s="235"/>
      <c r="D33" s="220"/>
      <c r="E33" s="220"/>
      <c r="F33" s="65" t="s">
        <v>83</v>
      </c>
      <c r="G33" s="66">
        <f t="shared" ref="G33" si="4">+E29</f>
        <v>6.7000000000000004E-2</v>
      </c>
      <c r="H33" s="67"/>
      <c r="I33" s="68"/>
      <c r="J33" s="69">
        <v>0.123</v>
      </c>
      <c r="K33" s="220"/>
      <c r="L33" s="220"/>
      <c r="M33" s="220"/>
      <c r="N33" s="223"/>
      <c r="O33" s="226"/>
      <c r="P33" s="229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s="54" customFormat="1" ht="14.1" customHeight="1" x14ac:dyDescent="0.25">
      <c r="A34" s="46"/>
      <c r="B34" s="230">
        <v>4</v>
      </c>
      <c r="C34" s="233">
        <f t="shared" ref="C34" si="5">+C29+$N$12</f>
        <v>6.8999999999999986</v>
      </c>
      <c r="D34" s="218">
        <v>6.7000000000000004E-2</v>
      </c>
      <c r="E34" s="218">
        <v>4.5999999999999999E-2</v>
      </c>
      <c r="F34" s="55" t="s">
        <v>79</v>
      </c>
      <c r="G34" s="56">
        <v>0</v>
      </c>
      <c r="H34" s="57"/>
      <c r="I34" s="58"/>
      <c r="J34" s="59"/>
      <c r="K34" s="218">
        <f>+IF(E34&lt;=0.12,(J36),(IF(E34&lt;0.16,((J35+2*J36+J37)/4),IF(E34&gt;=0.16,((J34+3*J35+2*J36+3*J37+J38)/10)))))</f>
        <v>0.28199999999999997</v>
      </c>
      <c r="L34" s="218">
        <f t="shared" ref="L34" si="6">ROUND(+(D29+D34)/2*(C34-C29),3)</f>
        <v>7.0000000000000001E-3</v>
      </c>
      <c r="M34" s="218">
        <f>ROUND(+K34*L34,4)</f>
        <v>2E-3</v>
      </c>
      <c r="N34" s="221">
        <f>ROUND(+M34/$M$103*100,2)</f>
        <v>10.81</v>
      </c>
      <c r="O34" s="224"/>
      <c r="P34" s="227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s="54" customFormat="1" ht="14.1" customHeight="1" x14ac:dyDescent="0.25">
      <c r="A35" s="46"/>
      <c r="B35" s="231"/>
      <c r="C35" s="234"/>
      <c r="D35" s="219"/>
      <c r="E35" s="219"/>
      <c r="F35" s="60" t="s">
        <v>80</v>
      </c>
      <c r="G35" s="61" t="str">
        <f t="shared" ref="G35" si="7">IF(E34&lt;0.125,"NA",IF(0.125&lt;=E34,(0.2*E34)))</f>
        <v>NA</v>
      </c>
      <c r="H35" s="62"/>
      <c r="I35" s="63"/>
      <c r="J35" s="64"/>
      <c r="K35" s="219"/>
      <c r="L35" s="219"/>
      <c r="M35" s="219"/>
      <c r="N35" s="222"/>
      <c r="O35" s="225"/>
      <c r="P35" s="228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s="54" customFormat="1" ht="14.1" customHeight="1" x14ac:dyDescent="0.25">
      <c r="A36" s="46"/>
      <c r="B36" s="231"/>
      <c r="C36" s="234"/>
      <c r="D36" s="219"/>
      <c r="E36" s="219"/>
      <c r="F36" s="60" t="s">
        <v>81</v>
      </c>
      <c r="G36" s="61">
        <f t="shared" ref="G36" si="8">+E34*0.4</f>
        <v>1.84E-2</v>
      </c>
      <c r="H36" s="62"/>
      <c r="I36" s="63"/>
      <c r="J36" s="64">
        <v>0.28199999999999997</v>
      </c>
      <c r="K36" s="219"/>
      <c r="L36" s="219"/>
      <c r="M36" s="219"/>
      <c r="N36" s="222"/>
      <c r="O36" s="225"/>
      <c r="P36" s="228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s="54" customFormat="1" ht="14.1" customHeight="1" x14ac:dyDescent="0.25">
      <c r="A37" s="46"/>
      <c r="B37" s="231"/>
      <c r="C37" s="234"/>
      <c r="D37" s="219"/>
      <c r="E37" s="219"/>
      <c r="F37" s="60" t="s">
        <v>82</v>
      </c>
      <c r="G37" s="61" t="str">
        <f t="shared" ref="G37" si="9">IF(E34&lt;0.125,"NA",IF(0.125&lt;=E34,(0.8*E34)))</f>
        <v>NA</v>
      </c>
      <c r="H37" s="62"/>
      <c r="I37" s="63"/>
      <c r="J37" s="64"/>
      <c r="K37" s="219"/>
      <c r="L37" s="219"/>
      <c r="M37" s="219"/>
      <c r="N37" s="222"/>
      <c r="O37" s="225"/>
      <c r="P37" s="228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s="54" customFormat="1" ht="14.1" customHeight="1" thickBot="1" x14ac:dyDescent="0.3">
      <c r="A38" s="46"/>
      <c r="B38" s="232"/>
      <c r="C38" s="235"/>
      <c r="D38" s="220"/>
      <c r="E38" s="220"/>
      <c r="F38" s="65" t="s">
        <v>83</v>
      </c>
      <c r="G38" s="66">
        <f t="shared" ref="G38" si="10">+E34</f>
        <v>4.5999999999999999E-2</v>
      </c>
      <c r="H38" s="67"/>
      <c r="I38" s="68"/>
      <c r="J38" s="69"/>
      <c r="K38" s="220"/>
      <c r="L38" s="220"/>
      <c r="M38" s="220"/>
      <c r="N38" s="223"/>
      <c r="O38" s="226"/>
      <c r="P38" s="229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s="54" customFormat="1" ht="14.1" customHeight="1" x14ac:dyDescent="0.25">
      <c r="A39" s="46"/>
      <c r="B39" s="230">
        <v>5</v>
      </c>
      <c r="C39" s="233">
        <f t="shared" ref="C39" si="11">+C34+$N$12</f>
        <v>6.9999999999999982</v>
      </c>
      <c r="D39" s="218">
        <v>3.5000000000000003E-2</v>
      </c>
      <c r="E39" s="218">
        <v>5.2999999999999999E-2</v>
      </c>
      <c r="F39" s="55" t="s">
        <v>79</v>
      </c>
      <c r="G39" s="56">
        <v>0</v>
      </c>
      <c r="H39" s="57"/>
      <c r="I39" s="58"/>
      <c r="J39" s="59"/>
      <c r="K39" s="218">
        <f t="shared" ref="K39" si="12">+IF(E39&lt;=0.12,(J41),(IF(E39&lt;0.16,((J40+2*J41+J42)/4),IF(E39&gt;=0.16,((J39+3*J40+2*J41+3*J42+J43)/10)))))</f>
        <v>0.27700000000000002</v>
      </c>
      <c r="L39" s="218">
        <f t="shared" ref="L39" si="13">ROUND(+(D34+D39)/2*(C39-C34),3)</f>
        <v>5.0000000000000001E-3</v>
      </c>
      <c r="M39" s="218">
        <f t="shared" ref="M39" si="14">ROUND(+K39*L39,4)</f>
        <v>1.4E-3</v>
      </c>
      <c r="N39" s="221">
        <f t="shared" ref="N39" si="15">ROUND(+M39/$M$103*100,2)</f>
        <v>7.57</v>
      </c>
      <c r="O39" s="224"/>
      <c r="P39" s="227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s="54" customFormat="1" ht="14.1" customHeight="1" x14ac:dyDescent="0.25">
      <c r="A40" s="46"/>
      <c r="B40" s="231"/>
      <c r="C40" s="234"/>
      <c r="D40" s="219"/>
      <c r="E40" s="219"/>
      <c r="F40" s="60" t="s">
        <v>80</v>
      </c>
      <c r="G40" s="61" t="str">
        <f t="shared" ref="G40" si="16">IF(E39&lt;0.125,"NA",IF(0.125&lt;=E39,(0.2*E39)))</f>
        <v>NA</v>
      </c>
      <c r="H40" s="62"/>
      <c r="I40" s="63"/>
      <c r="J40" s="64"/>
      <c r="K40" s="219"/>
      <c r="L40" s="219"/>
      <c r="M40" s="219"/>
      <c r="N40" s="222"/>
      <c r="O40" s="225"/>
      <c r="P40" s="228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s="54" customFormat="1" ht="14.1" customHeight="1" x14ac:dyDescent="0.25">
      <c r="A41" s="46"/>
      <c r="B41" s="231"/>
      <c r="C41" s="234"/>
      <c r="D41" s="219"/>
      <c r="E41" s="219"/>
      <c r="F41" s="60" t="s">
        <v>81</v>
      </c>
      <c r="G41" s="61">
        <f t="shared" ref="G41" si="17">+E39*0.4</f>
        <v>2.12E-2</v>
      </c>
      <c r="H41" s="62"/>
      <c r="I41" s="63"/>
      <c r="J41" s="64">
        <v>0.27700000000000002</v>
      </c>
      <c r="K41" s="219"/>
      <c r="L41" s="219"/>
      <c r="M41" s="219"/>
      <c r="N41" s="222"/>
      <c r="O41" s="225"/>
      <c r="P41" s="228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s="54" customFormat="1" ht="14.1" customHeight="1" x14ac:dyDescent="0.25">
      <c r="A42" s="46"/>
      <c r="B42" s="231"/>
      <c r="C42" s="234"/>
      <c r="D42" s="219"/>
      <c r="E42" s="219"/>
      <c r="F42" s="60" t="s">
        <v>82</v>
      </c>
      <c r="G42" s="61" t="str">
        <f t="shared" ref="G42" si="18">IF(E39&lt;0.125,"NA",IF(0.125&lt;=E39,(0.8*E39)))</f>
        <v>NA</v>
      </c>
      <c r="H42" s="62"/>
      <c r="I42" s="63"/>
      <c r="J42" s="64"/>
      <c r="K42" s="219"/>
      <c r="L42" s="219"/>
      <c r="M42" s="219"/>
      <c r="N42" s="222"/>
      <c r="O42" s="225"/>
      <c r="P42" s="228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s="54" customFormat="1" ht="14.1" customHeight="1" thickBot="1" x14ac:dyDescent="0.3">
      <c r="A43" s="46"/>
      <c r="B43" s="232"/>
      <c r="C43" s="235"/>
      <c r="D43" s="220"/>
      <c r="E43" s="220"/>
      <c r="F43" s="65" t="s">
        <v>83</v>
      </c>
      <c r="G43" s="66">
        <f t="shared" ref="G43" si="19">+E39</f>
        <v>5.2999999999999999E-2</v>
      </c>
      <c r="H43" s="67"/>
      <c r="I43" s="68"/>
      <c r="J43" s="69"/>
      <c r="K43" s="220"/>
      <c r="L43" s="220"/>
      <c r="M43" s="220"/>
      <c r="N43" s="223"/>
      <c r="O43" s="226"/>
      <c r="P43" s="229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s="54" customFormat="1" ht="14.1" customHeight="1" x14ac:dyDescent="0.25">
      <c r="A44" s="46"/>
      <c r="B44" s="230">
        <v>6</v>
      </c>
      <c r="C44" s="233">
        <f t="shared" ref="C44" si="20">+C39+$N$12</f>
        <v>7.0999999999999979</v>
      </c>
      <c r="D44" s="218">
        <v>3.5000000000000003E-2</v>
      </c>
      <c r="E44" s="218">
        <v>3.3000000000000002E-2</v>
      </c>
      <c r="F44" s="55" t="s">
        <v>79</v>
      </c>
      <c r="G44" s="56">
        <v>0</v>
      </c>
      <c r="H44" s="57"/>
      <c r="I44" s="58"/>
      <c r="J44" s="59"/>
      <c r="K44" s="218">
        <f t="shared" ref="K44" si="21">+IF(E44&lt;=0.12,(J46),(IF(E44&lt;0.16,((J45+2*J46+J47)/4),IF(E44&gt;=0.16,((J44+3*J45+2*J46+3*J47+J48)/10)))))</f>
        <v>0.24399999999999999</v>
      </c>
      <c r="L44" s="218">
        <f t="shared" ref="L44" si="22">ROUND(+(D39+D44)/2*(C44-C39),3)</f>
        <v>3.0000000000000001E-3</v>
      </c>
      <c r="M44" s="218">
        <f t="shared" ref="M44" si="23">ROUND(+K44*L44,4)</f>
        <v>6.9999999999999999E-4</v>
      </c>
      <c r="N44" s="221">
        <f t="shared" ref="N44" si="24">ROUND(+M44/$M$103*100,2)</f>
        <v>3.78</v>
      </c>
      <c r="O44" s="224"/>
      <c r="P44" s="227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s="54" customFormat="1" ht="14.1" customHeight="1" x14ac:dyDescent="0.25">
      <c r="A45" s="46"/>
      <c r="B45" s="231"/>
      <c r="C45" s="234"/>
      <c r="D45" s="219"/>
      <c r="E45" s="219"/>
      <c r="F45" s="60" t="s">
        <v>80</v>
      </c>
      <c r="G45" s="61" t="str">
        <f t="shared" ref="G45" si="25">IF(E44&lt;0.125,"NA",IF(0.125&lt;=E44,(0.2*E44)))</f>
        <v>NA</v>
      </c>
      <c r="H45" s="62"/>
      <c r="I45" s="63"/>
      <c r="J45" s="64"/>
      <c r="K45" s="219"/>
      <c r="L45" s="219"/>
      <c r="M45" s="219"/>
      <c r="N45" s="222"/>
      <c r="O45" s="225"/>
      <c r="P45" s="228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s="54" customFormat="1" ht="14.1" customHeight="1" x14ac:dyDescent="0.25">
      <c r="A46" s="46"/>
      <c r="B46" s="231"/>
      <c r="C46" s="234"/>
      <c r="D46" s="219"/>
      <c r="E46" s="219"/>
      <c r="F46" s="60" t="s">
        <v>81</v>
      </c>
      <c r="G46" s="61">
        <f t="shared" ref="G46" si="26">+E44*0.4</f>
        <v>1.3200000000000002E-2</v>
      </c>
      <c r="H46" s="62"/>
      <c r="I46" s="63"/>
      <c r="J46" s="64">
        <v>0.24399999999999999</v>
      </c>
      <c r="K46" s="219"/>
      <c r="L46" s="219"/>
      <c r="M46" s="219"/>
      <c r="N46" s="222"/>
      <c r="O46" s="225"/>
      <c r="P46" s="228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s="54" customFormat="1" ht="14.1" customHeight="1" x14ac:dyDescent="0.25">
      <c r="A47" s="46"/>
      <c r="B47" s="231"/>
      <c r="C47" s="234"/>
      <c r="D47" s="219"/>
      <c r="E47" s="219"/>
      <c r="F47" s="60" t="s">
        <v>82</v>
      </c>
      <c r="G47" s="61" t="str">
        <f t="shared" ref="G47" si="27">IF(E44&lt;0.125,"NA",IF(0.125&lt;=E44,(0.8*E44)))</f>
        <v>NA</v>
      </c>
      <c r="H47" s="62"/>
      <c r="I47" s="63"/>
      <c r="J47" s="64"/>
      <c r="K47" s="219"/>
      <c r="L47" s="219"/>
      <c r="M47" s="219"/>
      <c r="N47" s="222"/>
      <c r="O47" s="225"/>
      <c r="P47" s="228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s="54" customFormat="1" ht="14.1" customHeight="1" thickBot="1" x14ac:dyDescent="0.3">
      <c r="A48" s="46"/>
      <c r="B48" s="232"/>
      <c r="C48" s="235"/>
      <c r="D48" s="220"/>
      <c r="E48" s="220"/>
      <c r="F48" s="65" t="s">
        <v>83</v>
      </c>
      <c r="G48" s="66">
        <f t="shared" ref="G48" si="28">+E44</f>
        <v>3.3000000000000002E-2</v>
      </c>
      <c r="H48" s="67"/>
      <c r="I48" s="68"/>
      <c r="J48" s="69"/>
      <c r="K48" s="220"/>
      <c r="L48" s="220"/>
      <c r="M48" s="220"/>
      <c r="N48" s="223"/>
      <c r="O48" s="226"/>
      <c r="P48" s="229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s="54" customFormat="1" ht="14.1" customHeight="1" x14ac:dyDescent="0.25">
      <c r="A49" s="46"/>
      <c r="B49" s="230">
        <v>7</v>
      </c>
      <c r="C49" s="233">
        <f t="shared" ref="C49" si="29">+C44+$N$12</f>
        <v>7.1999999999999975</v>
      </c>
      <c r="D49" s="218">
        <v>6.7000000000000004E-2</v>
      </c>
      <c r="E49" s="218">
        <v>6.8000000000000005E-2</v>
      </c>
      <c r="F49" s="55" t="s">
        <v>79</v>
      </c>
      <c r="G49" s="56">
        <v>0</v>
      </c>
      <c r="H49" s="57"/>
      <c r="I49" s="58"/>
      <c r="J49" s="59"/>
      <c r="K49" s="218">
        <f t="shared" ref="K49" si="30">+IF(E49&lt;=0.12,(J51),(IF(E49&lt;0.16,((J50+2*J51+J52)/4),IF(E49&gt;=0.16,((J49+3*J50+2*J51+3*J52+J53)/10)))))</f>
        <v>0.26600000000000001</v>
      </c>
      <c r="L49" s="218">
        <f t="shared" ref="L49" si="31">ROUND(+(D44+D49)/2*(C49-C44),3)</f>
        <v>5.0000000000000001E-3</v>
      </c>
      <c r="M49" s="218">
        <f t="shared" ref="M49" si="32">ROUND(+K49*L49,4)</f>
        <v>1.2999999999999999E-3</v>
      </c>
      <c r="N49" s="221">
        <f t="shared" ref="N49" si="33">ROUND(+M49/$M$103*100,2)</f>
        <v>7.03</v>
      </c>
      <c r="O49" s="224"/>
      <c r="P49" s="227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s="54" customFormat="1" ht="14.1" customHeight="1" x14ac:dyDescent="0.25">
      <c r="A50" s="46"/>
      <c r="B50" s="231"/>
      <c r="C50" s="234"/>
      <c r="D50" s="219"/>
      <c r="E50" s="219"/>
      <c r="F50" s="60" t="s">
        <v>80</v>
      </c>
      <c r="G50" s="61" t="str">
        <f t="shared" ref="G50" si="34">IF(E49&lt;0.125,"NA",IF(0.125&lt;=E49,(0.2*E49)))</f>
        <v>NA</v>
      </c>
      <c r="H50" s="62"/>
      <c r="I50" s="63"/>
      <c r="J50" s="64"/>
      <c r="K50" s="219"/>
      <c r="L50" s="219"/>
      <c r="M50" s="219"/>
      <c r="N50" s="222"/>
      <c r="O50" s="225"/>
      <c r="P50" s="228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s="54" customFormat="1" ht="14.1" customHeight="1" x14ac:dyDescent="0.25">
      <c r="A51" s="46"/>
      <c r="B51" s="231"/>
      <c r="C51" s="234"/>
      <c r="D51" s="219"/>
      <c r="E51" s="219"/>
      <c r="F51" s="60" t="s">
        <v>81</v>
      </c>
      <c r="G51" s="61">
        <f t="shared" ref="G51" si="35">+E49*0.4</f>
        <v>2.7200000000000002E-2</v>
      </c>
      <c r="H51" s="62"/>
      <c r="I51" s="63"/>
      <c r="J51" s="64">
        <v>0.26600000000000001</v>
      </c>
      <c r="K51" s="219"/>
      <c r="L51" s="219"/>
      <c r="M51" s="219"/>
      <c r="N51" s="222"/>
      <c r="O51" s="225"/>
      <c r="P51" s="228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s="54" customFormat="1" ht="14.1" customHeight="1" x14ac:dyDescent="0.25">
      <c r="A52" s="46"/>
      <c r="B52" s="231"/>
      <c r="C52" s="234"/>
      <c r="D52" s="219"/>
      <c r="E52" s="219"/>
      <c r="F52" s="60" t="s">
        <v>82</v>
      </c>
      <c r="G52" s="61" t="str">
        <f t="shared" ref="G52" si="36">IF(E49&lt;0.125,"NA",IF(0.125&lt;=E49,(0.8*E49)))</f>
        <v>NA</v>
      </c>
      <c r="H52" s="62"/>
      <c r="I52" s="63"/>
      <c r="J52" s="64"/>
      <c r="K52" s="219"/>
      <c r="L52" s="219"/>
      <c r="M52" s="219"/>
      <c r="N52" s="222"/>
      <c r="O52" s="225"/>
      <c r="P52" s="228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s="54" customFormat="1" ht="14.1" customHeight="1" thickBot="1" x14ac:dyDescent="0.3">
      <c r="A53" s="46"/>
      <c r="B53" s="232"/>
      <c r="C53" s="235"/>
      <c r="D53" s="220"/>
      <c r="E53" s="220"/>
      <c r="F53" s="65" t="s">
        <v>83</v>
      </c>
      <c r="G53" s="66">
        <f t="shared" ref="G53" si="37">+E49</f>
        <v>6.8000000000000005E-2</v>
      </c>
      <c r="H53" s="67"/>
      <c r="I53" s="68"/>
      <c r="J53" s="69">
        <v>0.3</v>
      </c>
      <c r="K53" s="220"/>
      <c r="L53" s="220"/>
      <c r="M53" s="220"/>
      <c r="N53" s="223"/>
      <c r="O53" s="226"/>
      <c r="P53" s="229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s="54" customFormat="1" ht="14.1" customHeight="1" x14ac:dyDescent="0.25">
      <c r="A54" s="46"/>
      <c r="B54" s="230">
        <v>8</v>
      </c>
      <c r="C54" s="233">
        <f t="shared" ref="C54" si="38">+C49+$N$12</f>
        <v>7.2999999999999972</v>
      </c>
      <c r="D54" s="218">
        <v>6.7000000000000004E-2</v>
      </c>
      <c r="E54" s="218">
        <v>6.4000000000000001E-2</v>
      </c>
      <c r="F54" s="55" t="s">
        <v>79</v>
      </c>
      <c r="G54" s="56">
        <v>0</v>
      </c>
      <c r="H54" s="57"/>
      <c r="I54" s="58"/>
      <c r="J54" s="59"/>
      <c r="K54" s="218">
        <f t="shared" ref="K54" si="39">+IF(E54&lt;=0.12,(J56),(IF(E54&lt;0.16,((J55+2*J56+J57)/4),IF(E54&gt;=0.16,((J54+3*J55+2*J56+3*J57+J58)/10)))))</f>
        <v>0.24399999999999999</v>
      </c>
      <c r="L54" s="218">
        <f t="shared" ref="L54" si="40">ROUND(+(D49+D54)/2*(C54-C49),3)</f>
        <v>7.0000000000000001E-3</v>
      </c>
      <c r="M54" s="218">
        <f t="shared" ref="M54" si="41">ROUND(+K54*L54,4)</f>
        <v>1.6999999999999999E-3</v>
      </c>
      <c r="N54" s="221">
        <f t="shared" ref="N54" si="42">ROUND(+M54/$M$103*100,2)</f>
        <v>9.19</v>
      </c>
      <c r="O54" s="224"/>
      <c r="P54" s="227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s="54" customFormat="1" ht="14.1" customHeight="1" x14ac:dyDescent="0.25">
      <c r="A55" s="46"/>
      <c r="B55" s="231"/>
      <c r="C55" s="234"/>
      <c r="D55" s="219"/>
      <c r="E55" s="219"/>
      <c r="F55" s="60" t="s">
        <v>80</v>
      </c>
      <c r="G55" s="61" t="str">
        <f t="shared" ref="G55" si="43">IF(E54&lt;0.125,"NA",IF(0.125&lt;=E54,(0.2*E54)))</f>
        <v>NA</v>
      </c>
      <c r="H55" s="62"/>
      <c r="I55" s="63"/>
      <c r="J55" s="64"/>
      <c r="K55" s="219"/>
      <c r="L55" s="219"/>
      <c r="M55" s="219"/>
      <c r="N55" s="222"/>
      <c r="O55" s="225"/>
      <c r="P55" s="228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s="54" customFormat="1" ht="14.1" customHeight="1" x14ac:dyDescent="0.25">
      <c r="A56" s="46"/>
      <c r="B56" s="231"/>
      <c r="C56" s="234"/>
      <c r="D56" s="219"/>
      <c r="E56" s="219"/>
      <c r="F56" s="60" t="s">
        <v>81</v>
      </c>
      <c r="G56" s="61">
        <f t="shared" ref="G56" si="44">+E54*0.4</f>
        <v>2.5600000000000001E-2</v>
      </c>
      <c r="H56" s="62"/>
      <c r="I56" s="63"/>
      <c r="J56" s="64">
        <v>0.24399999999999999</v>
      </c>
      <c r="K56" s="219"/>
      <c r="L56" s="219"/>
      <c r="M56" s="219"/>
      <c r="N56" s="222"/>
      <c r="O56" s="225"/>
      <c r="P56" s="228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s="54" customFormat="1" ht="14.1" customHeight="1" x14ac:dyDescent="0.25">
      <c r="A57" s="46"/>
      <c r="B57" s="231"/>
      <c r="C57" s="234"/>
      <c r="D57" s="219"/>
      <c r="E57" s="219"/>
      <c r="F57" s="60" t="s">
        <v>82</v>
      </c>
      <c r="G57" s="61" t="str">
        <f t="shared" ref="G57" si="45">IF(E54&lt;0.125,"NA",IF(0.125&lt;=E54,(0.8*E54)))</f>
        <v>NA</v>
      </c>
      <c r="H57" s="62"/>
      <c r="I57" s="63"/>
      <c r="J57" s="64"/>
      <c r="K57" s="219"/>
      <c r="L57" s="219"/>
      <c r="M57" s="219"/>
      <c r="N57" s="222"/>
      <c r="O57" s="225"/>
      <c r="P57" s="228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s="54" customFormat="1" ht="14.1" customHeight="1" thickBot="1" x14ac:dyDescent="0.3">
      <c r="A58" s="46"/>
      <c r="B58" s="232"/>
      <c r="C58" s="235"/>
      <c r="D58" s="220"/>
      <c r="E58" s="220"/>
      <c r="F58" s="65" t="s">
        <v>83</v>
      </c>
      <c r="G58" s="66">
        <f t="shared" ref="G58" si="46">+E54</f>
        <v>6.4000000000000001E-2</v>
      </c>
      <c r="H58" s="67"/>
      <c r="I58" s="68"/>
      <c r="J58" s="69">
        <v>0.26700000000000002</v>
      </c>
      <c r="K58" s="220"/>
      <c r="L58" s="220"/>
      <c r="M58" s="220"/>
      <c r="N58" s="223"/>
      <c r="O58" s="226"/>
      <c r="P58" s="229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s="54" customFormat="1" ht="14.1" customHeight="1" x14ac:dyDescent="0.25">
      <c r="A59" s="46"/>
      <c r="B59" s="230">
        <v>9</v>
      </c>
      <c r="C59" s="233">
        <f t="shared" ref="C59" si="47">+C54+$N$12</f>
        <v>7.3999999999999968</v>
      </c>
      <c r="D59" s="218">
        <v>6.3E-2</v>
      </c>
      <c r="E59" s="218">
        <v>6.5000000000000002E-2</v>
      </c>
      <c r="F59" s="55" t="s">
        <v>79</v>
      </c>
      <c r="G59" s="56">
        <v>0</v>
      </c>
      <c r="H59" s="57"/>
      <c r="I59" s="58"/>
      <c r="J59" s="59"/>
      <c r="K59" s="218">
        <f t="shared" ref="K59" si="48">+IF(E59&lt;=0.12,(J61),(IF(E59&lt;0.16,((J60+2*J61+J62)/4),IF(E59&gt;=0.16,((J59+3*J60+2*J61+3*J62+J63)/10)))))</f>
        <v>0.37</v>
      </c>
      <c r="L59" s="218">
        <f t="shared" ref="L59" si="49">ROUND(+(D54+D59)/2*(C59-C54),3)</f>
        <v>6.0000000000000001E-3</v>
      </c>
      <c r="M59" s="218">
        <f t="shared" ref="M59" si="50">ROUND(+K59*L59,4)</f>
        <v>2.2000000000000001E-3</v>
      </c>
      <c r="N59" s="221">
        <f t="shared" ref="N59" si="51">ROUND(+M59/$M$103*100,2)</f>
        <v>11.89</v>
      </c>
      <c r="O59" s="224"/>
      <c r="P59" s="227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s="54" customFormat="1" ht="14.1" customHeight="1" x14ac:dyDescent="0.25">
      <c r="A60" s="46"/>
      <c r="B60" s="231"/>
      <c r="C60" s="234"/>
      <c r="D60" s="219"/>
      <c r="E60" s="219"/>
      <c r="F60" s="60" t="s">
        <v>80</v>
      </c>
      <c r="G60" s="61" t="str">
        <f t="shared" ref="G60" si="52">IF(E59&lt;0.125,"NA",IF(0.125&lt;=E59,(0.2*E59)))</f>
        <v>NA</v>
      </c>
      <c r="H60" s="62"/>
      <c r="I60" s="63"/>
      <c r="J60" s="64"/>
      <c r="K60" s="219"/>
      <c r="L60" s="219"/>
      <c r="M60" s="219"/>
      <c r="N60" s="222"/>
      <c r="O60" s="225"/>
      <c r="P60" s="228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s="54" customFormat="1" ht="14.1" customHeight="1" x14ac:dyDescent="0.25">
      <c r="A61" s="46"/>
      <c r="B61" s="231"/>
      <c r="C61" s="234"/>
      <c r="D61" s="219"/>
      <c r="E61" s="219"/>
      <c r="F61" s="60" t="s">
        <v>81</v>
      </c>
      <c r="G61" s="61">
        <f t="shared" ref="G61" si="53">+E59*0.4</f>
        <v>2.6000000000000002E-2</v>
      </c>
      <c r="H61" s="62"/>
      <c r="I61" s="63"/>
      <c r="J61" s="64">
        <v>0.37</v>
      </c>
      <c r="K61" s="219"/>
      <c r="L61" s="219"/>
      <c r="M61" s="219"/>
      <c r="N61" s="222"/>
      <c r="O61" s="225"/>
      <c r="P61" s="228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s="54" customFormat="1" ht="14.1" customHeight="1" x14ac:dyDescent="0.25">
      <c r="A62" s="46"/>
      <c r="B62" s="231"/>
      <c r="C62" s="234"/>
      <c r="D62" s="219"/>
      <c r="E62" s="219"/>
      <c r="F62" s="60" t="s">
        <v>82</v>
      </c>
      <c r="G62" s="61" t="str">
        <f t="shared" ref="G62" si="54">IF(E59&lt;0.125,"NA",IF(0.125&lt;=E59,(0.8*E59)))</f>
        <v>NA</v>
      </c>
      <c r="H62" s="62"/>
      <c r="I62" s="63"/>
      <c r="J62" s="64"/>
      <c r="K62" s="219"/>
      <c r="L62" s="219"/>
      <c r="M62" s="219"/>
      <c r="N62" s="222"/>
      <c r="O62" s="225"/>
      <c r="P62" s="228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s="54" customFormat="1" ht="14.1" customHeight="1" thickBot="1" x14ac:dyDescent="0.3">
      <c r="A63" s="46"/>
      <c r="B63" s="232"/>
      <c r="C63" s="235"/>
      <c r="D63" s="220"/>
      <c r="E63" s="220"/>
      <c r="F63" s="65" t="s">
        <v>83</v>
      </c>
      <c r="G63" s="66">
        <f t="shared" ref="G63" si="55">+E59</f>
        <v>6.5000000000000002E-2</v>
      </c>
      <c r="H63" s="67"/>
      <c r="I63" s="68"/>
      <c r="J63" s="69">
        <v>0.376</v>
      </c>
      <c r="K63" s="220"/>
      <c r="L63" s="220"/>
      <c r="M63" s="220"/>
      <c r="N63" s="223"/>
      <c r="O63" s="226"/>
      <c r="P63" s="229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s="54" customFormat="1" ht="14.1" customHeight="1" x14ac:dyDescent="0.25">
      <c r="A64" s="46"/>
      <c r="B64" s="230">
        <v>10</v>
      </c>
      <c r="C64" s="233">
        <f t="shared" ref="C64" si="56">+C59+$N$12</f>
        <v>7.4999999999999964</v>
      </c>
      <c r="D64" s="218">
        <v>6.3E-2</v>
      </c>
      <c r="E64" s="218">
        <v>6.4000000000000001E-2</v>
      </c>
      <c r="F64" s="55" t="s">
        <v>79</v>
      </c>
      <c r="G64" s="56">
        <v>0</v>
      </c>
      <c r="H64" s="57"/>
      <c r="I64" s="58"/>
      <c r="J64" s="59"/>
      <c r="K64" s="218">
        <f t="shared" ref="K64" si="57">+IF(E64&lt;=0.12,(J66),(IF(E64&lt;0.16,((J65+2*J66+J67)/4),IF(E64&gt;=0.16,((J64+3*J65+2*J66+3*J67+J68)/10)))))</f>
        <v>0.39900000000000002</v>
      </c>
      <c r="L64" s="218">
        <f t="shared" ref="L64" si="58">ROUND(+(D59+D64)/2*(C64-C59),3)</f>
        <v>6.0000000000000001E-3</v>
      </c>
      <c r="M64" s="218">
        <f t="shared" ref="M64" si="59">ROUND(+K64*L64,4)</f>
        <v>2.3999999999999998E-3</v>
      </c>
      <c r="N64" s="221">
        <f t="shared" ref="N64" si="60">ROUND(+M64/$M$103*100,2)</f>
        <v>12.97</v>
      </c>
      <c r="O64" s="224"/>
      <c r="P64" s="227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s="54" customFormat="1" ht="14.1" customHeight="1" x14ac:dyDescent="0.25">
      <c r="A65" s="46"/>
      <c r="B65" s="231"/>
      <c r="C65" s="234"/>
      <c r="D65" s="219"/>
      <c r="E65" s="219"/>
      <c r="F65" s="60" t="s">
        <v>80</v>
      </c>
      <c r="G65" s="61" t="str">
        <f t="shared" ref="G65" si="61">IF(E64&lt;0.125,"NA",IF(0.125&lt;=E64,(0.2*E64)))</f>
        <v>NA</v>
      </c>
      <c r="H65" s="62"/>
      <c r="I65" s="63"/>
      <c r="J65" s="64"/>
      <c r="K65" s="219"/>
      <c r="L65" s="219"/>
      <c r="M65" s="219"/>
      <c r="N65" s="222"/>
      <c r="O65" s="225"/>
      <c r="P65" s="228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s="54" customFormat="1" ht="14.1" customHeight="1" x14ac:dyDescent="0.25">
      <c r="A66" s="46"/>
      <c r="B66" s="231"/>
      <c r="C66" s="234"/>
      <c r="D66" s="219"/>
      <c r="E66" s="219"/>
      <c r="F66" s="60" t="s">
        <v>81</v>
      </c>
      <c r="G66" s="61">
        <f t="shared" ref="G66" si="62">+E64*0.4</f>
        <v>2.5600000000000001E-2</v>
      </c>
      <c r="H66" s="62"/>
      <c r="I66" s="63"/>
      <c r="J66" s="64">
        <v>0.39900000000000002</v>
      </c>
      <c r="K66" s="219"/>
      <c r="L66" s="219"/>
      <c r="M66" s="219"/>
      <c r="N66" s="222"/>
      <c r="O66" s="225"/>
      <c r="P66" s="228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s="54" customFormat="1" ht="14.1" customHeight="1" x14ac:dyDescent="0.25">
      <c r="A67" s="46"/>
      <c r="B67" s="231"/>
      <c r="C67" s="234"/>
      <c r="D67" s="219"/>
      <c r="E67" s="219"/>
      <c r="F67" s="60" t="s">
        <v>82</v>
      </c>
      <c r="G67" s="61" t="str">
        <f t="shared" ref="G67" si="63">IF(E64&lt;0.125,"NA",IF(0.125&lt;=E64,(0.8*E64)))</f>
        <v>NA</v>
      </c>
      <c r="H67" s="62"/>
      <c r="I67" s="63"/>
      <c r="J67" s="64"/>
      <c r="K67" s="219"/>
      <c r="L67" s="219"/>
      <c r="M67" s="219"/>
      <c r="N67" s="222"/>
      <c r="O67" s="225"/>
      <c r="P67" s="228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s="54" customFormat="1" ht="14.1" customHeight="1" thickBot="1" x14ac:dyDescent="0.3">
      <c r="A68" s="46"/>
      <c r="B68" s="232"/>
      <c r="C68" s="235"/>
      <c r="D68" s="220"/>
      <c r="E68" s="220"/>
      <c r="F68" s="65" t="s">
        <v>83</v>
      </c>
      <c r="G68" s="66">
        <f t="shared" ref="G68" si="64">+E64</f>
        <v>6.4000000000000001E-2</v>
      </c>
      <c r="H68" s="67"/>
      <c r="I68" s="68"/>
      <c r="J68" s="69">
        <v>0.372</v>
      </c>
      <c r="K68" s="220"/>
      <c r="L68" s="220"/>
      <c r="M68" s="220"/>
      <c r="N68" s="223"/>
      <c r="O68" s="226"/>
      <c r="P68" s="229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s="54" customFormat="1" ht="14.1" customHeight="1" x14ac:dyDescent="0.25">
      <c r="A69" s="46"/>
      <c r="B69" s="230">
        <v>11</v>
      </c>
      <c r="C69" s="233">
        <f t="shared" ref="C69" si="65">+C64+$N$12</f>
        <v>7.5999999999999961</v>
      </c>
      <c r="D69" s="218">
        <v>6.4000000000000001E-2</v>
      </c>
      <c r="E69" s="218">
        <v>6.2E-2</v>
      </c>
      <c r="F69" s="55" t="s">
        <v>79</v>
      </c>
      <c r="G69" s="56">
        <v>0</v>
      </c>
      <c r="H69" s="57"/>
      <c r="I69" s="58"/>
      <c r="J69" s="59"/>
      <c r="K69" s="218">
        <f t="shared" ref="K69" si="66">+IF(E69&lt;=0.12,(J71),(IF(E69&lt;0.16,((J70+2*J71+J72)/4),IF(E69&gt;=0.16,((J69+3*J70+2*J71+3*J72+J73)/10)))))</f>
        <v>0.32900000000000001</v>
      </c>
      <c r="L69" s="218">
        <f t="shared" ref="L69" si="67">ROUND(+(D64+D69)/2*(C69-C64),3)</f>
        <v>6.0000000000000001E-3</v>
      </c>
      <c r="M69" s="218">
        <f t="shared" ref="M69" si="68">ROUND(+K69*L69,4)</f>
        <v>2E-3</v>
      </c>
      <c r="N69" s="221">
        <f t="shared" ref="N69" si="69">ROUND(+M69/$M$103*100,2)</f>
        <v>10.81</v>
      </c>
      <c r="O69" s="224"/>
      <c r="P69" s="227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s="54" customFormat="1" ht="14.1" customHeight="1" x14ac:dyDescent="0.25">
      <c r="A70" s="46"/>
      <c r="B70" s="231"/>
      <c r="C70" s="234"/>
      <c r="D70" s="219"/>
      <c r="E70" s="219"/>
      <c r="F70" s="60" t="s">
        <v>80</v>
      </c>
      <c r="G70" s="61" t="str">
        <f t="shared" ref="G70" si="70">IF(E69&lt;0.125,"NA",IF(0.125&lt;=E69,(0.2*E69)))</f>
        <v>NA</v>
      </c>
      <c r="H70" s="62"/>
      <c r="I70" s="63"/>
      <c r="J70" s="64"/>
      <c r="K70" s="219"/>
      <c r="L70" s="219"/>
      <c r="M70" s="219"/>
      <c r="N70" s="222"/>
      <c r="O70" s="225"/>
      <c r="P70" s="228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s="54" customFormat="1" ht="14.1" customHeight="1" x14ac:dyDescent="0.25">
      <c r="A71" s="46"/>
      <c r="B71" s="231"/>
      <c r="C71" s="234"/>
      <c r="D71" s="219"/>
      <c r="E71" s="219"/>
      <c r="F71" s="60" t="s">
        <v>81</v>
      </c>
      <c r="G71" s="61">
        <f t="shared" ref="G71" si="71">+E69*0.4</f>
        <v>2.4800000000000003E-2</v>
      </c>
      <c r="H71" s="62"/>
      <c r="I71" s="63"/>
      <c r="J71" s="64">
        <v>0.32900000000000001</v>
      </c>
      <c r="K71" s="219"/>
      <c r="L71" s="219"/>
      <c r="M71" s="219"/>
      <c r="N71" s="222"/>
      <c r="O71" s="225"/>
      <c r="P71" s="228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s="54" customFormat="1" ht="14.1" customHeight="1" x14ac:dyDescent="0.25">
      <c r="A72" s="46"/>
      <c r="B72" s="231"/>
      <c r="C72" s="234"/>
      <c r="D72" s="219"/>
      <c r="E72" s="219"/>
      <c r="F72" s="60" t="s">
        <v>82</v>
      </c>
      <c r="G72" s="61" t="str">
        <f t="shared" ref="G72" si="72">IF(E69&lt;0.125,"NA",IF(0.125&lt;=E69,(0.8*E69)))</f>
        <v>NA</v>
      </c>
      <c r="H72" s="62"/>
      <c r="I72" s="63"/>
      <c r="J72" s="64"/>
      <c r="K72" s="219"/>
      <c r="L72" s="219"/>
      <c r="M72" s="219"/>
      <c r="N72" s="222"/>
      <c r="O72" s="225"/>
      <c r="P72" s="228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s="54" customFormat="1" ht="14.1" customHeight="1" thickBot="1" x14ac:dyDescent="0.3">
      <c r="A73" s="46"/>
      <c r="B73" s="232"/>
      <c r="C73" s="235"/>
      <c r="D73" s="220"/>
      <c r="E73" s="220"/>
      <c r="F73" s="65" t="s">
        <v>83</v>
      </c>
      <c r="G73" s="66">
        <f t="shared" ref="G73" si="73">+E69</f>
        <v>6.2E-2</v>
      </c>
      <c r="H73" s="67"/>
      <c r="I73" s="68"/>
      <c r="J73" s="69">
        <v>0.35599999999999998</v>
      </c>
      <c r="K73" s="220"/>
      <c r="L73" s="220"/>
      <c r="M73" s="220"/>
      <c r="N73" s="223"/>
      <c r="O73" s="226"/>
      <c r="P73" s="229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s="54" customFormat="1" ht="14.1" customHeight="1" x14ac:dyDescent="0.25">
      <c r="A74" s="46"/>
      <c r="B74" s="230">
        <v>12</v>
      </c>
      <c r="C74" s="233">
        <f t="shared" ref="C74" si="74">+C69+$N$12</f>
        <v>7.6999999999999957</v>
      </c>
      <c r="D74" s="218">
        <v>6.4000000000000001E-2</v>
      </c>
      <c r="E74" s="218">
        <v>5.2999999999999999E-2</v>
      </c>
      <c r="F74" s="55" t="s">
        <v>79</v>
      </c>
      <c r="G74" s="56">
        <v>0</v>
      </c>
      <c r="H74" s="57"/>
      <c r="I74" s="58"/>
      <c r="J74" s="59"/>
      <c r="K74" s="218">
        <f t="shared" ref="K74" si="75">+IF(E74&lt;=0.12,(J76),(IF(E74&lt;0.16,((J75+2*J76+J77)/4),IF(E74&gt;=0.16,((J74+3*J75+2*J76+3*J77+J78)/10)))))</f>
        <v>0.26</v>
      </c>
      <c r="L74" s="218">
        <f t="shared" ref="L74" si="76">ROUND(+(D69+D74)/2*(C74-C69),3)</f>
        <v>6.0000000000000001E-3</v>
      </c>
      <c r="M74" s="218">
        <f t="shared" ref="M74" si="77">ROUND(+K74*L74,4)</f>
        <v>1.6000000000000001E-3</v>
      </c>
      <c r="N74" s="221">
        <f t="shared" ref="N74" si="78">ROUND(+M74/$M$103*100,2)</f>
        <v>8.65</v>
      </c>
      <c r="O74" s="224"/>
      <c r="P74" s="227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s="54" customFormat="1" ht="14.1" customHeight="1" x14ac:dyDescent="0.25">
      <c r="A75" s="46"/>
      <c r="B75" s="231"/>
      <c r="C75" s="234"/>
      <c r="D75" s="219"/>
      <c r="E75" s="219"/>
      <c r="F75" s="60" t="s">
        <v>80</v>
      </c>
      <c r="G75" s="61" t="str">
        <f t="shared" ref="G75" si="79">IF(E74&lt;0.125,"NA",IF(0.125&lt;=E74,(0.2*E74)))</f>
        <v>NA</v>
      </c>
      <c r="H75" s="62"/>
      <c r="I75" s="63"/>
      <c r="J75" s="64"/>
      <c r="K75" s="219"/>
      <c r="L75" s="219"/>
      <c r="M75" s="219"/>
      <c r="N75" s="222"/>
      <c r="O75" s="225"/>
      <c r="P75" s="228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s="54" customFormat="1" ht="14.1" customHeight="1" x14ac:dyDescent="0.25">
      <c r="A76" s="46"/>
      <c r="B76" s="231"/>
      <c r="C76" s="234"/>
      <c r="D76" s="219"/>
      <c r="E76" s="219"/>
      <c r="F76" s="60" t="s">
        <v>81</v>
      </c>
      <c r="G76" s="61">
        <f t="shared" ref="G76" si="80">+E74*0.4</f>
        <v>2.12E-2</v>
      </c>
      <c r="H76" s="62"/>
      <c r="I76" s="63"/>
      <c r="J76" s="64">
        <v>0.26</v>
      </c>
      <c r="K76" s="219"/>
      <c r="L76" s="219"/>
      <c r="M76" s="219"/>
      <c r="N76" s="222"/>
      <c r="O76" s="225"/>
      <c r="P76" s="228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s="54" customFormat="1" ht="14.1" customHeight="1" x14ac:dyDescent="0.25">
      <c r="A77" s="46"/>
      <c r="B77" s="231"/>
      <c r="C77" s="234"/>
      <c r="D77" s="219"/>
      <c r="E77" s="219"/>
      <c r="F77" s="60" t="s">
        <v>82</v>
      </c>
      <c r="G77" s="61" t="str">
        <f t="shared" ref="G77" si="81">IF(E74&lt;0.125,"NA",IF(0.125&lt;=E74,(0.8*E74)))</f>
        <v>NA</v>
      </c>
      <c r="H77" s="62"/>
      <c r="I77" s="63"/>
      <c r="J77" s="64"/>
      <c r="K77" s="219"/>
      <c r="L77" s="219"/>
      <c r="M77" s="219"/>
      <c r="N77" s="222"/>
      <c r="O77" s="225"/>
      <c r="P77" s="228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s="54" customFormat="1" ht="14.1" customHeight="1" thickBot="1" x14ac:dyDescent="0.3">
      <c r="A78" s="46"/>
      <c r="B78" s="232"/>
      <c r="C78" s="235"/>
      <c r="D78" s="220"/>
      <c r="E78" s="220"/>
      <c r="F78" s="65" t="s">
        <v>83</v>
      </c>
      <c r="G78" s="66">
        <f t="shared" ref="G78" si="82">+E74</f>
        <v>5.2999999999999999E-2</v>
      </c>
      <c r="H78" s="67"/>
      <c r="I78" s="68"/>
      <c r="J78" s="69">
        <v>0.28499999999999998</v>
      </c>
      <c r="K78" s="220"/>
      <c r="L78" s="220"/>
      <c r="M78" s="220"/>
      <c r="N78" s="223"/>
      <c r="O78" s="226"/>
      <c r="P78" s="229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s="54" customFormat="1" ht="14.1" customHeight="1" x14ac:dyDescent="0.25">
      <c r="A79" s="46"/>
      <c r="B79" s="230">
        <v>13</v>
      </c>
      <c r="C79" s="233">
        <f>+C74+0.15</f>
        <v>7.8499999999999961</v>
      </c>
      <c r="D79" s="218">
        <v>4.2000000000000003E-2</v>
      </c>
      <c r="E79" s="218">
        <v>4.8000000000000001E-2</v>
      </c>
      <c r="F79" s="55" t="s">
        <v>79</v>
      </c>
      <c r="G79" s="56">
        <v>0</v>
      </c>
      <c r="H79" s="57"/>
      <c r="I79" s="58"/>
      <c r="J79" s="59"/>
      <c r="K79" s="218">
        <f t="shared" ref="K79" si="83">+IF(E79&lt;=0.12,(J81),(IF(E79&lt;0.16,((J80+2*J81+J82)/4),IF(E79&gt;=0.16,((J79+3*J80+2*J81+3*J82+J83)/10)))))</f>
        <v>3.5999999999999997E-2</v>
      </c>
      <c r="L79" s="218">
        <f t="shared" ref="L79" si="84">ROUND(+(D74+D79)/2*(C79-C74),3)</f>
        <v>8.0000000000000002E-3</v>
      </c>
      <c r="M79" s="218">
        <f t="shared" ref="M79" si="85">ROUND(+K79*L79,4)</f>
        <v>2.9999999999999997E-4</v>
      </c>
      <c r="N79" s="221">
        <f t="shared" ref="N79" si="86">ROUND(+M79/$M$103*100,2)</f>
        <v>1.62</v>
      </c>
      <c r="O79" s="224"/>
      <c r="P79" s="227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s="54" customFormat="1" ht="14.1" customHeight="1" x14ac:dyDescent="0.25">
      <c r="A80" s="46"/>
      <c r="B80" s="231"/>
      <c r="C80" s="234"/>
      <c r="D80" s="219"/>
      <c r="E80" s="219"/>
      <c r="F80" s="60" t="s">
        <v>80</v>
      </c>
      <c r="G80" s="61" t="str">
        <f t="shared" ref="G80" si="87">IF(E79&lt;0.125,"NA",IF(0.125&lt;=E79,(0.2*E79)))</f>
        <v>NA</v>
      </c>
      <c r="H80" s="62"/>
      <c r="I80" s="63"/>
      <c r="J80" s="64"/>
      <c r="K80" s="219"/>
      <c r="L80" s="219"/>
      <c r="M80" s="219"/>
      <c r="N80" s="222"/>
      <c r="O80" s="225"/>
      <c r="P80" s="228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s="54" customFormat="1" ht="14.1" customHeight="1" x14ac:dyDescent="0.25">
      <c r="A81" s="46"/>
      <c r="B81" s="231"/>
      <c r="C81" s="234"/>
      <c r="D81" s="219"/>
      <c r="E81" s="219"/>
      <c r="F81" s="60" t="s">
        <v>81</v>
      </c>
      <c r="G81" s="61">
        <f t="shared" ref="G81" si="88">+E79*0.4</f>
        <v>1.9200000000000002E-2</v>
      </c>
      <c r="H81" s="62"/>
      <c r="I81" s="63"/>
      <c r="J81" s="64">
        <v>3.5999999999999997E-2</v>
      </c>
      <c r="K81" s="219"/>
      <c r="L81" s="219"/>
      <c r="M81" s="219"/>
      <c r="N81" s="222"/>
      <c r="O81" s="225"/>
      <c r="P81" s="228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s="54" customFormat="1" ht="14.1" customHeight="1" x14ac:dyDescent="0.25">
      <c r="A82" s="46"/>
      <c r="B82" s="231"/>
      <c r="C82" s="234"/>
      <c r="D82" s="219"/>
      <c r="E82" s="219"/>
      <c r="F82" s="60" t="s">
        <v>82</v>
      </c>
      <c r="G82" s="61" t="str">
        <f t="shared" ref="G82" si="89">IF(E79&lt;0.125,"NA",IF(0.125&lt;=E79,(0.8*E79)))</f>
        <v>NA</v>
      </c>
      <c r="H82" s="62"/>
      <c r="I82" s="63"/>
      <c r="J82" s="64"/>
      <c r="K82" s="219"/>
      <c r="L82" s="219"/>
      <c r="M82" s="219"/>
      <c r="N82" s="222"/>
      <c r="O82" s="225"/>
      <c r="P82" s="228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s="54" customFormat="1" ht="14.1" customHeight="1" thickBot="1" x14ac:dyDescent="0.3">
      <c r="A83" s="46"/>
      <c r="B83" s="232"/>
      <c r="C83" s="235"/>
      <c r="D83" s="220"/>
      <c r="E83" s="220"/>
      <c r="F83" s="65" t="s">
        <v>83</v>
      </c>
      <c r="G83" s="66">
        <f t="shared" ref="G83" si="90">+E79</f>
        <v>4.8000000000000001E-2</v>
      </c>
      <c r="H83" s="67"/>
      <c r="I83" s="68"/>
      <c r="J83" s="69">
        <v>0.10299999999999999</v>
      </c>
      <c r="K83" s="220"/>
      <c r="L83" s="220"/>
      <c r="M83" s="220"/>
      <c r="N83" s="223"/>
      <c r="O83" s="226"/>
      <c r="P83" s="229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s="3" customFormat="1" ht="13.9" customHeight="1" x14ac:dyDescent="0.2">
      <c r="B84" s="236" t="s">
        <v>28</v>
      </c>
      <c r="C84" s="239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1"/>
    </row>
    <row r="85" spans="1:26" s="3" customFormat="1" ht="14.1" customHeight="1" x14ac:dyDescent="0.2">
      <c r="B85" s="237"/>
      <c r="C85" s="242"/>
      <c r="D85" s="243"/>
      <c r="E85" s="243"/>
      <c r="F85" s="243"/>
      <c r="G85" s="243"/>
      <c r="H85" s="243"/>
      <c r="I85" s="243"/>
      <c r="J85" s="243"/>
      <c r="K85" s="243"/>
      <c r="L85" s="243"/>
      <c r="M85" s="243"/>
      <c r="N85" s="243"/>
      <c r="O85" s="243"/>
      <c r="P85" s="244"/>
    </row>
    <row r="86" spans="1:26" s="3" customFormat="1" ht="14.1" customHeight="1" x14ac:dyDescent="0.2">
      <c r="B86" s="237"/>
      <c r="C86" s="242"/>
      <c r="D86" s="243"/>
      <c r="E86" s="243"/>
      <c r="F86" s="243"/>
      <c r="G86" s="243"/>
      <c r="H86" s="243"/>
      <c r="I86" s="243"/>
      <c r="J86" s="243"/>
      <c r="K86" s="243"/>
      <c r="L86" s="243"/>
      <c r="M86" s="243"/>
      <c r="N86" s="243"/>
      <c r="O86" s="243"/>
      <c r="P86" s="244"/>
    </row>
    <row r="87" spans="1:26" s="3" customFormat="1" ht="14.1" customHeight="1" x14ac:dyDescent="0.2">
      <c r="B87" s="237"/>
      <c r="C87" s="242"/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4"/>
    </row>
    <row r="88" spans="1:26" s="3" customFormat="1" ht="14.1" customHeight="1" x14ac:dyDescent="0.2">
      <c r="B88" s="237"/>
      <c r="C88" s="242"/>
      <c r="D88" s="243"/>
      <c r="E88" s="243"/>
      <c r="F88" s="243"/>
      <c r="G88" s="243"/>
      <c r="H88" s="243"/>
      <c r="I88" s="243"/>
      <c r="J88" s="243"/>
      <c r="K88" s="243"/>
      <c r="L88" s="243"/>
      <c r="M88" s="243"/>
      <c r="N88" s="243"/>
      <c r="O88" s="243"/>
      <c r="P88" s="244"/>
    </row>
    <row r="89" spans="1:26" s="3" customFormat="1" ht="14.1" customHeight="1" thickBot="1" x14ac:dyDescent="0.25">
      <c r="B89" s="238"/>
      <c r="C89" s="245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7"/>
    </row>
    <row r="90" spans="1:26" s="3" customFormat="1" ht="28.5" customHeight="1" thickBot="1" x14ac:dyDescent="0.25">
      <c r="A90" s="70"/>
      <c r="B90" s="71" t="s">
        <v>84</v>
      </c>
      <c r="C90" s="249" t="s">
        <v>85</v>
      </c>
      <c r="D90" s="249"/>
      <c r="E90" s="249"/>
      <c r="F90" s="249"/>
      <c r="G90" s="249"/>
      <c r="H90" s="250"/>
      <c r="I90" s="251"/>
      <c r="J90" s="71" t="s">
        <v>86</v>
      </c>
      <c r="K90" s="249" t="s">
        <v>87</v>
      </c>
      <c r="L90" s="249"/>
      <c r="M90" s="249"/>
      <c r="N90" s="249"/>
      <c r="O90" s="249"/>
      <c r="P90" s="250"/>
    </row>
    <row r="91" spans="1:26" s="3" customFormat="1" ht="28.5" customHeight="1" thickBot="1" x14ac:dyDescent="0.25">
      <c r="B91" s="72" t="s">
        <v>88</v>
      </c>
      <c r="C91" s="253" t="s">
        <v>89</v>
      </c>
      <c r="D91" s="253"/>
      <c r="E91" s="253"/>
      <c r="F91" s="253"/>
      <c r="G91" s="253"/>
      <c r="H91" s="254"/>
      <c r="I91" s="252"/>
      <c r="J91" s="72" t="s">
        <v>90</v>
      </c>
      <c r="K91" s="253" t="s">
        <v>91</v>
      </c>
      <c r="L91" s="253"/>
      <c r="M91" s="253"/>
      <c r="N91" s="253"/>
      <c r="O91" s="253"/>
      <c r="P91" s="254"/>
    </row>
    <row r="92" spans="1:26" s="19" customFormat="1" ht="13.5" customHeight="1" x14ac:dyDescent="0.25">
      <c r="A92" s="73"/>
      <c r="B92" s="255"/>
      <c r="C92" s="258"/>
      <c r="D92" s="261"/>
      <c r="E92" s="261"/>
      <c r="F92" s="74" t="s">
        <v>79</v>
      </c>
      <c r="G92" s="74">
        <v>0.01</v>
      </c>
      <c r="H92" s="75"/>
      <c r="I92" s="76"/>
      <c r="J92" s="77"/>
      <c r="K92" s="263"/>
      <c r="L92" s="276"/>
      <c r="M92" s="277"/>
      <c r="N92" s="276"/>
      <c r="O92" s="276"/>
      <c r="P92" s="2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s="19" customFormat="1" ht="13.5" customHeight="1" x14ac:dyDescent="0.25">
      <c r="A93" s="73"/>
      <c r="B93" s="256"/>
      <c r="C93" s="259"/>
      <c r="D93" s="259"/>
      <c r="E93" s="259"/>
      <c r="F93" s="79" t="s">
        <v>92</v>
      </c>
      <c r="G93" s="80">
        <f>+E92*0.1</f>
        <v>0</v>
      </c>
      <c r="H93" s="81"/>
      <c r="I93" s="82"/>
      <c r="J93" s="83"/>
      <c r="K93" s="259"/>
      <c r="L93" s="259"/>
      <c r="M93" s="259"/>
      <c r="N93" s="259"/>
      <c r="O93" s="259"/>
      <c r="P93" s="279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s="19" customFormat="1" ht="13.5" customHeight="1" x14ac:dyDescent="0.25">
      <c r="A94" s="73"/>
      <c r="B94" s="256"/>
      <c r="C94" s="259"/>
      <c r="D94" s="259"/>
      <c r="E94" s="259"/>
      <c r="F94" s="79" t="s">
        <v>93</v>
      </c>
      <c r="G94" s="80">
        <f>+E92*0.2</f>
        <v>0</v>
      </c>
      <c r="H94" s="81"/>
      <c r="I94" s="82"/>
      <c r="J94" s="83"/>
      <c r="K94" s="259"/>
      <c r="L94" s="259"/>
      <c r="M94" s="259"/>
      <c r="N94" s="259"/>
      <c r="O94" s="259"/>
      <c r="P94" s="279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s="19" customFormat="1" ht="13.5" customHeight="1" x14ac:dyDescent="0.25">
      <c r="A95" s="73"/>
      <c r="B95" s="256"/>
      <c r="C95" s="259"/>
      <c r="D95" s="259"/>
      <c r="E95" s="259"/>
      <c r="F95" s="79" t="s">
        <v>94</v>
      </c>
      <c r="G95" s="80">
        <f>+E92*0.3</f>
        <v>0</v>
      </c>
      <c r="H95" s="81"/>
      <c r="I95" s="82"/>
      <c r="J95" s="83"/>
      <c r="K95" s="259"/>
      <c r="L95" s="259"/>
      <c r="M95" s="259"/>
      <c r="N95" s="259"/>
      <c r="O95" s="259"/>
      <c r="P95" s="279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s="19" customFormat="1" ht="13.5" customHeight="1" x14ac:dyDescent="0.25">
      <c r="A96" s="73"/>
      <c r="B96" s="256"/>
      <c r="C96" s="260"/>
      <c r="D96" s="260"/>
      <c r="E96" s="259"/>
      <c r="F96" s="79" t="s">
        <v>95</v>
      </c>
      <c r="G96" s="80">
        <f>+E92*0.4</f>
        <v>0</v>
      </c>
      <c r="H96" s="81"/>
      <c r="I96" s="82"/>
      <c r="J96" s="83"/>
      <c r="K96" s="259"/>
      <c r="L96" s="259"/>
      <c r="M96" s="259"/>
      <c r="N96" s="259"/>
      <c r="O96" s="259"/>
      <c r="P96" s="279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s="19" customFormat="1" ht="13.5" customHeight="1" x14ac:dyDescent="0.25">
      <c r="A97" s="73"/>
      <c r="B97" s="256"/>
      <c r="C97" s="281"/>
      <c r="D97" s="282"/>
      <c r="E97" s="259"/>
      <c r="F97" s="79" t="s">
        <v>29</v>
      </c>
      <c r="G97" s="80">
        <f>+E92*0.5</f>
        <v>0</v>
      </c>
      <c r="H97" s="81"/>
      <c r="I97" s="82"/>
      <c r="J97" s="83"/>
      <c r="K97" s="259"/>
      <c r="L97" s="259"/>
      <c r="M97" s="259"/>
      <c r="N97" s="259"/>
      <c r="O97" s="259"/>
      <c r="P97" s="279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s="19" customFormat="1" ht="13.5" customHeight="1" x14ac:dyDescent="0.25">
      <c r="A98" s="73"/>
      <c r="B98" s="256"/>
      <c r="C98" s="259"/>
      <c r="D98" s="259"/>
      <c r="E98" s="259"/>
      <c r="F98" s="79" t="s">
        <v>96</v>
      </c>
      <c r="G98" s="80">
        <f>+E92*0.6</f>
        <v>0</v>
      </c>
      <c r="H98" s="81"/>
      <c r="I98" s="82"/>
      <c r="J98" s="83"/>
      <c r="K98" s="259"/>
      <c r="L98" s="259"/>
      <c r="M98" s="259"/>
      <c r="N98" s="259"/>
      <c r="O98" s="259"/>
      <c r="P98" s="279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s="19" customFormat="1" ht="13.5" customHeight="1" x14ac:dyDescent="0.25">
      <c r="A99" s="73"/>
      <c r="B99" s="256"/>
      <c r="C99" s="259"/>
      <c r="D99" s="259"/>
      <c r="E99" s="259"/>
      <c r="F99" s="79" t="s">
        <v>97</v>
      </c>
      <c r="G99" s="80">
        <f>+E92*0.7</f>
        <v>0</v>
      </c>
      <c r="H99" s="81"/>
      <c r="I99" s="82"/>
      <c r="J99" s="83"/>
      <c r="K99" s="259"/>
      <c r="L99" s="259"/>
      <c r="M99" s="259"/>
      <c r="N99" s="259"/>
      <c r="O99" s="259"/>
      <c r="P99" s="279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s="19" customFormat="1" ht="13.5" customHeight="1" x14ac:dyDescent="0.25">
      <c r="A100" s="73"/>
      <c r="B100" s="256"/>
      <c r="C100" s="259"/>
      <c r="D100" s="259"/>
      <c r="E100" s="259"/>
      <c r="F100" s="79" t="s">
        <v>98</v>
      </c>
      <c r="G100" s="80">
        <f>+E92*0.8</f>
        <v>0</v>
      </c>
      <c r="H100" s="81"/>
      <c r="I100" s="82"/>
      <c r="J100" s="83"/>
      <c r="K100" s="259"/>
      <c r="L100" s="259"/>
      <c r="M100" s="259"/>
      <c r="N100" s="259"/>
      <c r="O100" s="259"/>
      <c r="P100" s="279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s="19" customFormat="1" ht="13.5" customHeight="1" x14ac:dyDescent="0.25">
      <c r="A101" s="73"/>
      <c r="B101" s="256"/>
      <c r="C101" s="259"/>
      <c r="D101" s="259"/>
      <c r="E101" s="259"/>
      <c r="F101" s="79" t="s">
        <v>99</v>
      </c>
      <c r="G101" s="80">
        <f>+E92*0.9</f>
        <v>0</v>
      </c>
      <c r="H101" s="81"/>
      <c r="I101" s="82"/>
      <c r="J101" s="83"/>
      <c r="K101" s="259"/>
      <c r="L101" s="259"/>
      <c r="M101" s="259"/>
      <c r="N101" s="259"/>
      <c r="O101" s="259"/>
      <c r="P101" s="279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s="19" customFormat="1" ht="15.75" thickBot="1" x14ac:dyDescent="0.3">
      <c r="A102" s="73"/>
      <c r="B102" s="257"/>
      <c r="C102" s="262"/>
      <c r="D102" s="262"/>
      <c r="E102" s="262"/>
      <c r="F102" s="84" t="s">
        <v>30</v>
      </c>
      <c r="G102" s="84">
        <f>+E92</f>
        <v>0</v>
      </c>
      <c r="H102" s="85"/>
      <c r="I102" s="86"/>
      <c r="J102" s="87"/>
      <c r="K102" s="262"/>
      <c r="L102" s="262"/>
      <c r="M102" s="262"/>
      <c r="N102" s="262"/>
      <c r="O102" s="262"/>
      <c r="P102" s="280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s="3" customFormat="1" ht="12.75" x14ac:dyDescent="0.2">
      <c r="A103" s="11"/>
      <c r="B103" s="264" t="s">
        <v>31</v>
      </c>
      <c r="C103" s="264"/>
      <c r="D103" s="264"/>
      <c r="E103" s="264"/>
      <c r="F103" s="264"/>
      <c r="G103" s="264"/>
      <c r="H103" s="264"/>
      <c r="I103" s="264"/>
      <c r="J103" s="264"/>
      <c r="K103" s="16">
        <f>ROUND(+M103/L103,3)</f>
        <v>0.25</v>
      </c>
      <c r="L103" s="15">
        <f>SUM(L19:L102)</f>
        <v>7.400000000000001E-2</v>
      </c>
      <c r="M103" s="14">
        <f>SUM(M19:M102)</f>
        <v>1.8500000000000003E-2</v>
      </c>
      <c r="N103" s="12">
        <f>ROUND(SUM(N19:N102),0)</f>
        <v>100</v>
      </c>
      <c r="O103" s="266" t="s">
        <v>32</v>
      </c>
      <c r="P103" s="268"/>
    </row>
    <row r="104" spans="1:26" s="3" customFormat="1" ht="15" customHeight="1" thickBot="1" x14ac:dyDescent="0.25">
      <c r="A104" s="11"/>
      <c r="B104" s="265"/>
      <c r="C104" s="265"/>
      <c r="D104" s="265"/>
      <c r="E104" s="265"/>
      <c r="F104" s="265"/>
      <c r="G104" s="265"/>
      <c r="H104" s="265"/>
      <c r="I104" s="265"/>
      <c r="J104" s="265"/>
      <c r="K104" s="13" t="s">
        <v>33</v>
      </c>
      <c r="L104" s="13" t="s">
        <v>49</v>
      </c>
      <c r="M104" s="13" t="s">
        <v>106</v>
      </c>
      <c r="N104" s="13" t="s">
        <v>34</v>
      </c>
      <c r="O104" s="267"/>
      <c r="P104" s="269"/>
    </row>
    <row r="105" spans="1:26" ht="15" customHeight="1" thickBot="1" x14ac:dyDescent="0.3">
      <c r="A105" s="5"/>
      <c r="B105" s="270" t="s">
        <v>100</v>
      </c>
      <c r="C105" s="271"/>
      <c r="D105" s="271"/>
      <c r="E105" s="271"/>
      <c r="F105" s="272"/>
      <c r="G105" s="270" t="s">
        <v>101</v>
      </c>
      <c r="H105" s="271"/>
      <c r="I105" s="271"/>
      <c r="J105" s="271"/>
      <c r="K105" s="272"/>
      <c r="L105" s="273" t="s">
        <v>51</v>
      </c>
      <c r="M105" s="274"/>
      <c r="N105" s="274"/>
      <c r="O105" s="274"/>
      <c r="P105" s="275"/>
    </row>
    <row r="106" spans="1:26" ht="15" customHeight="1" x14ac:dyDescent="0.25">
      <c r="A106" s="5"/>
      <c r="B106" s="283"/>
      <c r="C106" s="284"/>
      <c r="D106" s="284"/>
      <c r="E106" s="284"/>
      <c r="F106" s="285"/>
      <c r="G106" s="283"/>
      <c r="H106" s="284"/>
      <c r="I106" s="284"/>
      <c r="J106" s="284"/>
      <c r="K106" s="285"/>
      <c r="L106" s="292" t="s">
        <v>102</v>
      </c>
      <c r="M106" s="293"/>
      <c r="N106" s="293"/>
      <c r="O106" s="328">
        <f>+AVERAGE(E18:E83)</f>
        <v>5.5615384615384629E-2</v>
      </c>
      <c r="P106" s="329"/>
    </row>
    <row r="107" spans="1:26" ht="15" customHeight="1" thickBot="1" x14ac:dyDescent="0.3">
      <c r="A107" s="5"/>
      <c r="B107" s="286"/>
      <c r="C107" s="287"/>
      <c r="D107" s="287"/>
      <c r="E107" s="287"/>
      <c r="F107" s="288"/>
      <c r="G107" s="286"/>
      <c r="H107" s="287"/>
      <c r="I107" s="287"/>
      <c r="J107" s="287"/>
      <c r="K107" s="288"/>
      <c r="L107" s="296" t="s">
        <v>103</v>
      </c>
      <c r="M107" s="297"/>
      <c r="N107" s="297"/>
      <c r="O107" s="330">
        <f>MAX(E18:E83)</f>
        <v>6.8000000000000005E-2</v>
      </c>
      <c r="P107" s="331"/>
    </row>
    <row r="108" spans="1:26" ht="18.600000000000001" customHeight="1" x14ac:dyDescent="0.25">
      <c r="A108" s="6"/>
      <c r="B108" s="286"/>
      <c r="C108" s="287"/>
      <c r="D108" s="287"/>
      <c r="E108" s="287"/>
      <c r="F108" s="288"/>
      <c r="G108" s="286"/>
      <c r="H108" s="287"/>
      <c r="I108" s="287"/>
      <c r="J108" s="287"/>
      <c r="K108" s="288"/>
      <c r="L108" s="300"/>
      <c r="M108" s="301"/>
      <c r="N108" s="301"/>
      <c r="O108" s="301"/>
      <c r="P108" s="302"/>
    </row>
    <row r="109" spans="1:26" ht="42" customHeight="1" x14ac:dyDescent="0.25">
      <c r="A109" s="10"/>
      <c r="B109" s="286"/>
      <c r="C109" s="287"/>
      <c r="D109" s="287"/>
      <c r="E109" s="287"/>
      <c r="F109" s="288"/>
      <c r="G109" s="286"/>
      <c r="H109" s="287"/>
      <c r="I109" s="287"/>
      <c r="J109" s="287"/>
      <c r="K109" s="288"/>
      <c r="L109" s="303"/>
      <c r="M109" s="304"/>
      <c r="N109" s="304"/>
      <c r="O109" s="304"/>
      <c r="P109" s="305"/>
    </row>
    <row r="110" spans="1:26" ht="15" customHeight="1" thickBot="1" x14ac:dyDescent="0.3">
      <c r="A110" s="5"/>
      <c r="B110" s="286"/>
      <c r="C110" s="287"/>
      <c r="D110" s="287"/>
      <c r="E110" s="287"/>
      <c r="F110" s="288"/>
      <c r="G110" s="286"/>
      <c r="H110" s="287"/>
      <c r="I110" s="287"/>
      <c r="J110" s="287"/>
      <c r="K110" s="288"/>
      <c r="L110" s="306"/>
      <c r="M110" s="307"/>
      <c r="N110" s="307"/>
      <c r="O110" s="307"/>
      <c r="P110" s="308"/>
    </row>
    <row r="111" spans="1:26" ht="22.5" customHeight="1" thickBot="1" x14ac:dyDescent="0.3">
      <c r="A111" s="5"/>
      <c r="B111" s="286"/>
      <c r="C111" s="287"/>
      <c r="D111" s="287"/>
      <c r="E111" s="287"/>
      <c r="F111" s="288"/>
      <c r="G111" s="286"/>
      <c r="H111" s="287"/>
      <c r="I111" s="287"/>
      <c r="J111" s="287"/>
      <c r="K111" s="288"/>
      <c r="L111" s="309" t="s">
        <v>35</v>
      </c>
      <c r="M111" s="310"/>
      <c r="N111" s="310"/>
      <c r="O111" s="310"/>
      <c r="P111" s="97">
        <v>8.8000000000000007</v>
      </c>
    </row>
    <row r="112" spans="1:26" ht="32.25" customHeight="1" thickBot="1" x14ac:dyDescent="0.3">
      <c r="A112" s="5"/>
      <c r="B112" s="289"/>
      <c r="C112" s="290"/>
      <c r="D112" s="290"/>
      <c r="E112" s="290"/>
      <c r="F112" s="291"/>
      <c r="G112" s="289"/>
      <c r="H112" s="290"/>
      <c r="I112" s="290"/>
      <c r="J112" s="290"/>
      <c r="K112" s="291"/>
      <c r="L112" s="311" t="s">
        <v>50</v>
      </c>
      <c r="M112" s="312"/>
      <c r="N112" s="312"/>
      <c r="O112" s="312"/>
      <c r="P112" s="97">
        <v>0.1376</v>
      </c>
    </row>
    <row r="113" spans="1:16" ht="23.45" customHeight="1" thickBot="1" x14ac:dyDescent="0.3">
      <c r="A113" s="7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</row>
    <row r="114" spans="1:16" ht="15.75" thickBot="1" x14ac:dyDescent="0.3">
      <c r="A114" s="319" t="s">
        <v>36</v>
      </c>
      <c r="B114" s="320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0"/>
      <c r="O114" s="320"/>
      <c r="P114" s="321"/>
    </row>
    <row r="115" spans="1:16" ht="159" customHeight="1" thickBot="1" x14ac:dyDescent="0.3">
      <c r="A115" s="4"/>
      <c r="B115" s="322"/>
      <c r="C115" s="323"/>
      <c r="D115" s="323"/>
      <c r="E115" s="323"/>
      <c r="F115" s="338"/>
      <c r="G115" s="322"/>
      <c r="H115" s="323"/>
      <c r="I115" s="323"/>
      <c r="J115" s="323"/>
      <c r="K115" s="338"/>
      <c r="L115" s="322"/>
      <c r="M115" s="323"/>
      <c r="N115" s="323"/>
      <c r="O115" s="323"/>
      <c r="P115" s="324"/>
    </row>
    <row r="116" spans="1:16" ht="21.75" customHeight="1" thickBot="1" x14ac:dyDescent="0.3">
      <c r="A116" s="4"/>
      <c r="B116" s="325" t="s">
        <v>52</v>
      </c>
      <c r="C116" s="326"/>
      <c r="D116" s="326"/>
      <c r="E116" s="326"/>
      <c r="F116" s="339"/>
      <c r="G116" s="340" t="s">
        <v>105</v>
      </c>
      <c r="H116" s="341"/>
      <c r="I116" s="341"/>
      <c r="J116" s="341"/>
      <c r="K116" s="341"/>
      <c r="L116" s="341"/>
      <c r="M116" s="341"/>
      <c r="N116" s="341"/>
      <c r="O116" s="341"/>
      <c r="P116" s="342"/>
    </row>
    <row r="117" spans="1:16" s="9" customFormat="1" ht="16.899999999999999" customHeight="1" thickBot="1" x14ac:dyDescent="0.3">
      <c r="A117" s="8"/>
      <c r="B117" s="313"/>
      <c r="C117" s="313"/>
      <c r="D117" s="313"/>
      <c r="E117" s="313"/>
      <c r="F117" s="313"/>
      <c r="G117" s="313"/>
      <c r="H117" s="313"/>
      <c r="I117" s="313"/>
      <c r="J117" s="313"/>
      <c r="K117" s="313"/>
      <c r="L117" s="313"/>
      <c r="M117" s="313"/>
      <c r="N117" s="313"/>
      <c r="O117" s="313"/>
      <c r="P117" s="314"/>
    </row>
    <row r="118" spans="1:16" s="3" customFormat="1" ht="15.75" customHeight="1" thickBot="1" x14ac:dyDescent="0.25">
      <c r="A118" s="315" t="s">
        <v>37</v>
      </c>
      <c r="B118" s="316"/>
      <c r="C118" s="316"/>
      <c r="D118" s="316" t="s">
        <v>120</v>
      </c>
      <c r="E118" s="316"/>
      <c r="F118" s="316"/>
      <c r="G118" s="316"/>
      <c r="H118" s="316"/>
      <c r="I118" s="316"/>
      <c r="J118" s="316" t="s">
        <v>38</v>
      </c>
      <c r="K118" s="316"/>
      <c r="L118" s="316"/>
      <c r="M118" s="316"/>
      <c r="N118" s="316"/>
      <c r="O118" s="316"/>
      <c r="P118" s="317"/>
    </row>
  </sheetData>
  <mergeCells count="234">
    <mergeCell ref="B117:P117"/>
    <mergeCell ref="A118:C118"/>
    <mergeCell ref="D118:I118"/>
    <mergeCell ref="J118:K118"/>
    <mergeCell ref="L118:P118"/>
    <mergeCell ref="B113:P113"/>
    <mergeCell ref="A114:P114"/>
    <mergeCell ref="B115:F115"/>
    <mergeCell ref="G115:K115"/>
    <mergeCell ref="L115:P115"/>
    <mergeCell ref="B116:F116"/>
    <mergeCell ref="G116:P116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23"/>
  <sheetViews>
    <sheetView view="pageBreakPreview" zoomScaleSheetLayoutView="100" zoomScalePageLayoutView="110" workbookViewId="0">
      <selection activeCell="D6" sqref="D6:I6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9" width="10.7109375" customWidth="1"/>
    <col min="10" max="10" width="13.140625" customWidth="1"/>
    <col min="11" max="12" width="10.7109375" customWidth="1"/>
    <col min="13" max="13" width="11.7109375" customWidth="1"/>
    <col min="14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104"/>
      <c r="B2" s="122"/>
      <c r="C2" s="123"/>
      <c r="D2" s="124"/>
      <c r="E2" s="128" t="s">
        <v>125</v>
      </c>
      <c r="F2" s="129"/>
      <c r="G2" s="129"/>
      <c r="H2" s="129"/>
      <c r="I2" s="129"/>
      <c r="J2" s="129"/>
      <c r="K2" s="129"/>
      <c r="L2" s="129"/>
      <c r="M2" s="129"/>
      <c r="N2" s="129"/>
      <c r="O2" s="132"/>
      <c r="P2" s="133"/>
    </row>
    <row r="3" spans="1:26" s="2" customFormat="1" ht="25.5" customHeight="1" thickBot="1" x14ac:dyDescent="0.3">
      <c r="A3" s="104"/>
      <c r="B3" s="125"/>
      <c r="C3" s="126"/>
      <c r="D3" s="127"/>
      <c r="E3" s="130"/>
      <c r="F3" s="131"/>
      <c r="G3" s="131"/>
      <c r="H3" s="131"/>
      <c r="I3" s="131"/>
      <c r="J3" s="131"/>
      <c r="K3" s="131"/>
      <c r="L3" s="131"/>
      <c r="M3" s="131"/>
      <c r="N3" s="131"/>
      <c r="O3" s="134"/>
      <c r="P3" s="135"/>
    </row>
    <row r="4" spans="1:26" s="19" customFormat="1" ht="11.25" customHeight="1" thickBot="1" x14ac:dyDescent="0.3">
      <c r="A4" s="18"/>
      <c r="B4" s="115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117">
        <v>43159</v>
      </c>
      <c r="D5" s="118"/>
      <c r="E5" s="22" t="s">
        <v>53</v>
      </c>
      <c r="F5" s="23">
        <v>4</v>
      </c>
      <c r="G5" s="24" t="s">
        <v>1</v>
      </c>
      <c r="H5" s="119" t="s">
        <v>126</v>
      </c>
      <c r="I5" s="120"/>
      <c r="J5" s="120"/>
      <c r="K5" s="120"/>
      <c r="L5" s="120"/>
      <c r="M5" s="120"/>
      <c r="N5" s="120"/>
      <c r="O5" s="120"/>
      <c r="P5" s="121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136" t="s">
        <v>2</v>
      </c>
      <c r="C6" s="137"/>
      <c r="D6" s="138" t="s">
        <v>122</v>
      </c>
      <c r="E6" s="139"/>
      <c r="F6" s="139"/>
      <c r="G6" s="139"/>
      <c r="H6" s="139"/>
      <c r="I6" s="140"/>
      <c r="J6" s="28" t="s">
        <v>3</v>
      </c>
      <c r="K6" s="141" t="s">
        <v>111</v>
      </c>
      <c r="L6" s="140"/>
      <c r="M6" s="141" t="s">
        <v>112</v>
      </c>
      <c r="N6" s="142"/>
      <c r="O6" s="29" t="s">
        <v>54</v>
      </c>
      <c r="P6" s="30">
        <v>2020</v>
      </c>
    </row>
    <row r="7" spans="1:26" s="26" customFormat="1" ht="21.75" customHeight="1" x14ac:dyDescent="0.25">
      <c r="B7" s="143" t="s">
        <v>55</v>
      </c>
      <c r="C7" s="145" t="s">
        <v>56</v>
      </c>
      <c r="D7" s="146"/>
      <c r="E7" s="32"/>
      <c r="F7" s="147" t="s">
        <v>57</v>
      </c>
      <c r="G7" s="148"/>
      <c r="H7" s="148"/>
      <c r="I7" s="148"/>
      <c r="J7" s="149" t="s">
        <v>58</v>
      </c>
      <c r="K7" s="150"/>
      <c r="L7" s="150"/>
      <c r="M7" s="151"/>
      <c r="N7" s="152" t="s">
        <v>59</v>
      </c>
      <c r="O7" s="153"/>
      <c r="P7" s="33" t="s">
        <v>60</v>
      </c>
    </row>
    <row r="8" spans="1:26" s="26" customFormat="1" ht="21.75" customHeight="1" thickBot="1" x14ac:dyDescent="0.3">
      <c r="B8" s="144"/>
      <c r="C8" s="154" t="s">
        <v>61</v>
      </c>
      <c r="D8" s="155"/>
      <c r="E8" s="90" t="s">
        <v>4</v>
      </c>
      <c r="F8" s="156" t="s">
        <v>5</v>
      </c>
      <c r="G8" s="157"/>
      <c r="H8" s="157"/>
      <c r="I8" s="157"/>
      <c r="J8" s="158"/>
      <c r="K8" s="159"/>
      <c r="L8" s="159"/>
      <c r="M8" s="160"/>
      <c r="N8" s="161"/>
      <c r="O8" s="162"/>
      <c r="P8" s="34"/>
    </row>
    <row r="9" spans="1:26" s="26" customFormat="1" ht="21.75" customHeight="1" x14ac:dyDescent="0.25">
      <c r="B9" s="163" t="s">
        <v>6</v>
      </c>
      <c r="C9" s="166" t="s">
        <v>62</v>
      </c>
      <c r="D9" s="168" t="s">
        <v>63</v>
      </c>
      <c r="E9" s="169"/>
      <c r="F9" s="35"/>
      <c r="G9" s="170" t="s">
        <v>7</v>
      </c>
      <c r="H9" s="171" t="s">
        <v>8</v>
      </c>
      <c r="I9" s="146"/>
      <c r="J9" s="36"/>
      <c r="K9" s="166" t="s">
        <v>64</v>
      </c>
      <c r="L9" s="172" t="s">
        <v>109</v>
      </c>
      <c r="M9" s="173"/>
      <c r="N9" s="174"/>
      <c r="O9" s="174"/>
      <c r="P9" s="175"/>
    </row>
    <row r="10" spans="1:26" s="26" customFormat="1" ht="21.75" customHeight="1" thickBot="1" x14ac:dyDescent="0.3">
      <c r="B10" s="164"/>
      <c r="C10" s="167"/>
      <c r="D10" s="185" t="s">
        <v>65</v>
      </c>
      <c r="E10" s="155"/>
      <c r="F10" s="91" t="s">
        <v>4</v>
      </c>
      <c r="G10" s="167"/>
      <c r="H10" s="185" t="s">
        <v>9</v>
      </c>
      <c r="I10" s="155"/>
      <c r="J10" s="92" t="s">
        <v>4</v>
      </c>
      <c r="K10" s="167"/>
      <c r="L10" s="176"/>
      <c r="M10" s="177"/>
      <c r="N10" s="177"/>
      <c r="O10" s="177"/>
      <c r="P10" s="178"/>
    </row>
    <row r="11" spans="1:26" s="26" customFormat="1" ht="21.75" customHeight="1" x14ac:dyDescent="0.25">
      <c r="A11" s="20"/>
      <c r="B11" s="164"/>
      <c r="C11" s="186" t="s">
        <v>10</v>
      </c>
      <c r="D11" s="169"/>
      <c r="E11" s="93">
        <v>0.57986111111111105</v>
      </c>
      <c r="F11" s="187" t="s">
        <v>11</v>
      </c>
      <c r="G11" s="169"/>
      <c r="H11" s="94">
        <v>1.07</v>
      </c>
      <c r="I11" s="188" t="s">
        <v>12</v>
      </c>
      <c r="J11" s="146"/>
      <c r="K11" s="94">
        <v>20</v>
      </c>
      <c r="L11" s="186" t="s">
        <v>13</v>
      </c>
      <c r="M11" s="169"/>
      <c r="N11" s="95">
        <v>1.47</v>
      </c>
      <c r="O11" s="179" t="s">
        <v>66</v>
      </c>
      <c r="P11" s="180"/>
    </row>
    <row r="12" spans="1:26" s="26" customFormat="1" ht="21.75" customHeight="1" thickBot="1" x14ac:dyDescent="0.3">
      <c r="A12" s="20"/>
      <c r="B12" s="165"/>
      <c r="C12" s="181" t="s">
        <v>14</v>
      </c>
      <c r="D12" s="155"/>
      <c r="E12" s="93">
        <v>0.59305555555555556</v>
      </c>
      <c r="F12" s="154" t="s">
        <v>15</v>
      </c>
      <c r="G12" s="155"/>
      <c r="H12" s="94">
        <v>1.07</v>
      </c>
      <c r="I12" s="182" t="s">
        <v>16</v>
      </c>
      <c r="J12" s="155"/>
      <c r="K12" s="93">
        <v>0.5625</v>
      </c>
      <c r="L12" s="181" t="s">
        <v>17</v>
      </c>
      <c r="M12" s="155"/>
      <c r="N12" s="96">
        <v>0.1</v>
      </c>
      <c r="O12" s="183">
        <v>6.5</v>
      </c>
      <c r="P12" s="184"/>
    </row>
    <row r="13" spans="1:26" s="26" customFormat="1" ht="21.75" customHeight="1" x14ac:dyDescent="0.25">
      <c r="A13" s="20"/>
      <c r="B13" s="204" t="s">
        <v>18</v>
      </c>
      <c r="C13" s="206" t="s">
        <v>67</v>
      </c>
      <c r="D13" s="207"/>
      <c r="E13" s="207"/>
      <c r="F13" s="208" t="s">
        <v>68</v>
      </c>
      <c r="G13" s="207"/>
      <c r="H13" s="207"/>
      <c r="I13" s="207"/>
      <c r="J13" s="208" t="s">
        <v>69</v>
      </c>
      <c r="K13" s="207"/>
      <c r="L13" s="207"/>
      <c r="M13" s="207"/>
      <c r="N13" s="209" t="s">
        <v>70</v>
      </c>
      <c r="O13" s="207"/>
      <c r="P13" s="210"/>
      <c r="Q13" s="37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05"/>
      <c r="C14" s="211" t="s">
        <v>71</v>
      </c>
      <c r="D14" s="212"/>
      <c r="E14" s="212"/>
      <c r="F14" s="213" t="s">
        <v>72</v>
      </c>
      <c r="G14" s="212"/>
      <c r="H14" s="212"/>
      <c r="I14" s="212"/>
      <c r="J14" s="214" t="s">
        <v>73</v>
      </c>
      <c r="K14" s="212"/>
      <c r="L14" s="212"/>
      <c r="M14" s="212"/>
      <c r="N14" s="215"/>
      <c r="O14" s="201"/>
      <c r="P14" s="21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144"/>
      <c r="C15" s="217" t="s">
        <v>74</v>
      </c>
      <c r="D15" s="189"/>
      <c r="E15" s="189"/>
      <c r="F15" s="189" t="s">
        <v>75</v>
      </c>
      <c r="G15" s="190"/>
      <c r="H15" s="190"/>
      <c r="I15" s="190"/>
      <c r="J15" s="189" t="s">
        <v>76</v>
      </c>
      <c r="K15" s="190"/>
      <c r="L15" s="190"/>
      <c r="M15" s="190"/>
      <c r="N15" s="191"/>
      <c r="O15" s="192"/>
      <c r="P15" s="193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194" t="s">
        <v>19</v>
      </c>
      <c r="C16" s="196" t="s">
        <v>20</v>
      </c>
      <c r="D16" s="196" t="s">
        <v>41</v>
      </c>
      <c r="E16" s="198" t="s">
        <v>21</v>
      </c>
      <c r="F16" s="199" t="s">
        <v>42</v>
      </c>
      <c r="G16" s="116"/>
      <c r="H16" s="196" t="s">
        <v>77</v>
      </c>
      <c r="I16" s="202" t="s">
        <v>78</v>
      </c>
      <c r="J16" s="38" t="s">
        <v>43</v>
      </c>
      <c r="K16" s="39"/>
      <c r="L16" s="40" t="s">
        <v>44</v>
      </c>
      <c r="M16" s="40" t="s">
        <v>45</v>
      </c>
      <c r="N16" s="40" t="s">
        <v>45</v>
      </c>
      <c r="O16" s="40" t="s">
        <v>46</v>
      </c>
      <c r="P16" s="41" t="s">
        <v>22</v>
      </c>
    </row>
    <row r="17" spans="1:26" s="26" customFormat="1" ht="21.75" customHeight="1" thickBot="1" x14ac:dyDescent="0.3">
      <c r="A17" s="42"/>
      <c r="B17" s="195"/>
      <c r="C17" s="197"/>
      <c r="D17" s="197"/>
      <c r="E17" s="197"/>
      <c r="F17" s="200"/>
      <c r="G17" s="201"/>
      <c r="H17" s="197"/>
      <c r="I17" s="203"/>
      <c r="J17" s="43" t="s">
        <v>23</v>
      </c>
      <c r="K17" s="44" t="s">
        <v>24</v>
      </c>
      <c r="L17" s="44" t="s">
        <v>47</v>
      </c>
      <c r="M17" s="44" t="s">
        <v>48</v>
      </c>
      <c r="N17" s="44" t="s">
        <v>25</v>
      </c>
      <c r="O17" s="44" t="s">
        <v>26</v>
      </c>
      <c r="P17" s="45" t="s">
        <v>27</v>
      </c>
    </row>
    <row r="18" spans="1:26" s="54" customFormat="1" ht="21.75" customHeight="1" thickBot="1" x14ac:dyDescent="0.3">
      <c r="A18" s="46"/>
      <c r="B18" s="47"/>
      <c r="C18" s="48">
        <f>+O12</f>
        <v>6.5</v>
      </c>
      <c r="D18" s="48">
        <v>4.7E-2</v>
      </c>
      <c r="E18" s="49"/>
      <c r="F18" s="50"/>
      <c r="G18" s="89"/>
      <c r="H18" s="51"/>
      <c r="I18" s="52"/>
      <c r="J18" s="88"/>
      <c r="K18" s="49"/>
      <c r="L18" s="49"/>
      <c r="M18" s="49"/>
      <c r="N18" s="49"/>
      <c r="O18" s="49"/>
      <c r="P18" s="53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s="54" customFormat="1" ht="14.1" customHeight="1" x14ac:dyDescent="0.25">
      <c r="A19" s="46"/>
      <c r="B19" s="230">
        <v>1</v>
      </c>
      <c r="C19" s="233">
        <f>+C18+$N$12</f>
        <v>6.6</v>
      </c>
      <c r="D19" s="218">
        <v>5.8000000000000003E-2</v>
      </c>
      <c r="E19" s="218">
        <v>6.8000000000000005E-2</v>
      </c>
      <c r="F19" s="55" t="s">
        <v>79</v>
      </c>
      <c r="G19" s="56">
        <v>0</v>
      </c>
      <c r="H19" s="57"/>
      <c r="I19" s="58"/>
      <c r="J19" s="59">
        <v>0.13300000000000001</v>
      </c>
      <c r="K19" s="218">
        <f>+IF(E19&lt;=0.12,(J21),(IF(E19&lt;0.16,((J20+2*J21+J22)/4),IF(E19&gt;=0.16,((J19+3*J20+2*J21+3*J22+J23)/10)))))</f>
        <v>0.185</v>
      </c>
      <c r="L19" s="218">
        <f>ROUND(+(D18+D19)/2*(C19-C18),3)</f>
        <v>5.0000000000000001E-3</v>
      </c>
      <c r="M19" s="218">
        <f>ROUND(+K19*L19,4)</f>
        <v>8.9999999999999998E-4</v>
      </c>
      <c r="N19" s="221">
        <f>ROUND(+M19/$M$108*100,2)</f>
        <v>2.34</v>
      </c>
      <c r="O19" s="224"/>
      <c r="P19" s="227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s="54" customFormat="1" ht="14.1" customHeight="1" x14ac:dyDescent="0.25">
      <c r="A20" s="46"/>
      <c r="B20" s="231"/>
      <c r="C20" s="234"/>
      <c r="D20" s="219"/>
      <c r="E20" s="219"/>
      <c r="F20" s="60" t="s">
        <v>80</v>
      </c>
      <c r="G20" s="61" t="str">
        <f>IF(E19&lt;0.125,"NA",IF(0.125&lt;=E19,(0.2*E19)))</f>
        <v>NA</v>
      </c>
      <c r="H20" s="62"/>
      <c r="I20" s="63"/>
      <c r="J20" s="64"/>
      <c r="K20" s="219"/>
      <c r="L20" s="219"/>
      <c r="M20" s="219"/>
      <c r="N20" s="222"/>
      <c r="O20" s="225"/>
      <c r="P20" s="228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s="54" customFormat="1" ht="14.1" customHeight="1" x14ac:dyDescent="0.25">
      <c r="A21" s="46"/>
      <c r="B21" s="231"/>
      <c r="C21" s="234"/>
      <c r="D21" s="219"/>
      <c r="E21" s="219"/>
      <c r="F21" s="60" t="s">
        <v>81</v>
      </c>
      <c r="G21" s="61">
        <f>+E19*0.4</f>
        <v>2.7200000000000002E-2</v>
      </c>
      <c r="H21" s="62"/>
      <c r="I21" s="63"/>
      <c r="J21" s="64">
        <v>0.185</v>
      </c>
      <c r="K21" s="219"/>
      <c r="L21" s="219"/>
      <c r="M21" s="219"/>
      <c r="N21" s="222"/>
      <c r="O21" s="225"/>
      <c r="P21" s="228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s="54" customFormat="1" ht="14.1" customHeight="1" x14ac:dyDescent="0.25">
      <c r="A22" s="46"/>
      <c r="B22" s="231"/>
      <c r="C22" s="234"/>
      <c r="D22" s="219"/>
      <c r="E22" s="219"/>
      <c r="F22" s="60" t="s">
        <v>82</v>
      </c>
      <c r="G22" s="61" t="str">
        <f>IF(E19&lt;0.125,"NA",IF(0.125&lt;=E19,(0.8*E19)))</f>
        <v>NA</v>
      </c>
      <c r="H22" s="62"/>
      <c r="I22" s="63"/>
      <c r="J22" s="64"/>
      <c r="K22" s="219"/>
      <c r="L22" s="219"/>
      <c r="M22" s="219"/>
      <c r="N22" s="222"/>
      <c r="O22" s="225"/>
      <c r="P22" s="228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s="54" customFormat="1" ht="14.1" customHeight="1" thickBot="1" x14ac:dyDescent="0.3">
      <c r="A23" s="46"/>
      <c r="B23" s="232"/>
      <c r="C23" s="235"/>
      <c r="D23" s="220"/>
      <c r="E23" s="220"/>
      <c r="F23" s="65" t="s">
        <v>83</v>
      </c>
      <c r="G23" s="66">
        <f>+E19</f>
        <v>6.8000000000000005E-2</v>
      </c>
      <c r="H23" s="67"/>
      <c r="I23" s="68"/>
      <c r="J23" s="69">
        <v>0.18</v>
      </c>
      <c r="K23" s="220"/>
      <c r="L23" s="220"/>
      <c r="M23" s="220"/>
      <c r="N23" s="223"/>
      <c r="O23" s="226"/>
      <c r="P23" s="229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s="54" customFormat="1" ht="14.1" customHeight="1" x14ac:dyDescent="0.25">
      <c r="A24" s="46"/>
      <c r="B24" s="230">
        <v>2</v>
      </c>
      <c r="C24" s="233">
        <f>+C19+$N$12</f>
        <v>6.6999999999999993</v>
      </c>
      <c r="D24" s="218">
        <v>7.4999999999999997E-2</v>
      </c>
      <c r="E24" s="218">
        <v>7.0999999999999994E-2</v>
      </c>
      <c r="F24" s="55" t="s">
        <v>79</v>
      </c>
      <c r="G24" s="56">
        <v>0</v>
      </c>
      <c r="H24" s="57"/>
      <c r="I24" s="58"/>
      <c r="J24" s="59">
        <v>0.10199999999999999</v>
      </c>
      <c r="K24" s="218">
        <f t="shared" ref="K24" si="0">+IF(E24&lt;=0.12,(J26),(IF(E24&lt;0.16,((J25+2*J26+J27)/4),IF(E24&gt;=0.16,((J24+3*J25+2*J26+3*J27+J28)/10)))))</f>
        <v>0.20399999999999999</v>
      </c>
      <c r="L24" s="218">
        <f>ROUND(+(D19+D24)/2*(C24-C19),3)</f>
        <v>7.0000000000000001E-3</v>
      </c>
      <c r="M24" s="218">
        <f t="shared" ref="M24" si="1">ROUND(+K24*L24,4)</f>
        <v>1.4E-3</v>
      </c>
      <c r="N24" s="221">
        <f t="shared" ref="N24" si="2">ROUND(+M24/$M$108*100,2)</f>
        <v>3.65</v>
      </c>
      <c r="O24" s="224"/>
      <c r="P24" s="227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s="54" customFormat="1" ht="14.1" customHeight="1" x14ac:dyDescent="0.25">
      <c r="A25" s="46"/>
      <c r="B25" s="231"/>
      <c r="C25" s="234"/>
      <c r="D25" s="219"/>
      <c r="E25" s="219"/>
      <c r="F25" s="60" t="s">
        <v>80</v>
      </c>
      <c r="G25" s="61" t="str">
        <f t="shared" ref="G25" si="3">IF(E24&lt;0.125,"NA",IF(0.125&lt;=E24,(0.2*E24)))</f>
        <v>NA</v>
      </c>
      <c r="H25" s="62"/>
      <c r="I25" s="63"/>
      <c r="J25" s="64"/>
      <c r="K25" s="219"/>
      <c r="L25" s="219"/>
      <c r="M25" s="219"/>
      <c r="N25" s="222"/>
      <c r="O25" s="225"/>
      <c r="P25" s="228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s="54" customFormat="1" ht="14.1" customHeight="1" x14ac:dyDescent="0.25">
      <c r="A26" s="46"/>
      <c r="B26" s="231"/>
      <c r="C26" s="234"/>
      <c r="D26" s="219"/>
      <c r="E26" s="219"/>
      <c r="F26" s="60" t="s">
        <v>81</v>
      </c>
      <c r="G26" s="61">
        <f t="shared" ref="G26" si="4">+E24*0.4</f>
        <v>2.8399999999999998E-2</v>
      </c>
      <c r="H26" s="62"/>
      <c r="I26" s="63"/>
      <c r="J26" s="64">
        <v>0.20399999999999999</v>
      </c>
      <c r="K26" s="219"/>
      <c r="L26" s="219"/>
      <c r="M26" s="219"/>
      <c r="N26" s="222"/>
      <c r="O26" s="225"/>
      <c r="P26" s="228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s="54" customFormat="1" ht="14.1" customHeight="1" x14ac:dyDescent="0.25">
      <c r="A27" s="46"/>
      <c r="B27" s="231"/>
      <c r="C27" s="234"/>
      <c r="D27" s="219"/>
      <c r="E27" s="219"/>
      <c r="F27" s="60" t="s">
        <v>82</v>
      </c>
      <c r="G27" s="61" t="str">
        <f t="shared" ref="G27" si="5">IF(E24&lt;0.125,"NA",IF(0.125&lt;=E24,(0.8*E24)))</f>
        <v>NA</v>
      </c>
      <c r="H27" s="62"/>
      <c r="I27" s="63"/>
      <c r="J27" s="64"/>
      <c r="K27" s="219"/>
      <c r="L27" s="219"/>
      <c r="M27" s="219"/>
      <c r="N27" s="222"/>
      <c r="O27" s="225"/>
      <c r="P27" s="228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s="54" customFormat="1" ht="14.1" customHeight="1" thickBot="1" x14ac:dyDescent="0.3">
      <c r="A28" s="46"/>
      <c r="B28" s="232"/>
      <c r="C28" s="235"/>
      <c r="D28" s="220"/>
      <c r="E28" s="220"/>
      <c r="F28" s="65" t="s">
        <v>83</v>
      </c>
      <c r="G28" s="66">
        <f t="shared" ref="G28" si="6">+E24</f>
        <v>7.0999999999999994E-2</v>
      </c>
      <c r="H28" s="67"/>
      <c r="I28" s="68"/>
      <c r="J28" s="69">
        <v>0.20899999999999999</v>
      </c>
      <c r="K28" s="220"/>
      <c r="L28" s="220"/>
      <c r="M28" s="220"/>
      <c r="N28" s="223"/>
      <c r="O28" s="226"/>
      <c r="P28" s="229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s="54" customFormat="1" ht="14.1" customHeight="1" x14ac:dyDescent="0.25">
      <c r="A29" s="46" t="s">
        <v>123</v>
      </c>
      <c r="B29" s="230">
        <v>3</v>
      </c>
      <c r="C29" s="233">
        <f>+C24+$N$12</f>
        <v>6.7999999999999989</v>
      </c>
      <c r="D29" s="218">
        <v>0.08</v>
      </c>
      <c r="E29" s="218">
        <v>7.2999999999999995E-2</v>
      </c>
      <c r="F29" s="55" t="s">
        <v>79</v>
      </c>
      <c r="G29" s="56">
        <v>0</v>
      </c>
      <c r="H29" s="57"/>
      <c r="I29" s="58"/>
      <c r="J29" s="59">
        <v>0.16900000000000001</v>
      </c>
      <c r="K29" s="218">
        <f t="shared" ref="K29" si="7">+IF(E29&lt;=0.12,(J31),(IF(E29&lt;0.16,((J30+2*J31+J32)/4),IF(E29&gt;=0.16,((J29+3*J30+2*J31+3*J32+J33)/10)))))</f>
        <v>0.31</v>
      </c>
      <c r="L29" s="218">
        <f>ROUND(+(D24+D29)/2*(C29-C24),3)</f>
        <v>8.0000000000000002E-3</v>
      </c>
      <c r="M29" s="218">
        <f t="shared" ref="M29" si="8">ROUND(+K29*L29,4)</f>
        <v>2.5000000000000001E-3</v>
      </c>
      <c r="N29" s="221">
        <f t="shared" ref="N29" si="9">ROUND(+M29/$M$108*100,2)</f>
        <v>6.51</v>
      </c>
      <c r="O29" s="224"/>
      <c r="P29" s="227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s="54" customFormat="1" ht="14.1" customHeight="1" x14ac:dyDescent="0.25">
      <c r="A30" s="46"/>
      <c r="B30" s="231"/>
      <c r="C30" s="234"/>
      <c r="D30" s="219"/>
      <c r="E30" s="219"/>
      <c r="F30" s="60" t="s">
        <v>80</v>
      </c>
      <c r="G30" s="61" t="str">
        <f t="shared" ref="G30" si="10">IF(E29&lt;0.125,"NA",IF(0.125&lt;=E29,(0.2*E29)))</f>
        <v>NA</v>
      </c>
      <c r="H30" s="62"/>
      <c r="I30" s="63"/>
      <c r="J30" s="64"/>
      <c r="K30" s="219"/>
      <c r="L30" s="219"/>
      <c r="M30" s="219"/>
      <c r="N30" s="222"/>
      <c r="O30" s="225"/>
      <c r="P30" s="228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s="54" customFormat="1" ht="14.1" customHeight="1" x14ac:dyDescent="0.25">
      <c r="A31" s="46"/>
      <c r="B31" s="231"/>
      <c r="C31" s="234"/>
      <c r="D31" s="219"/>
      <c r="E31" s="219"/>
      <c r="F31" s="60" t="s">
        <v>81</v>
      </c>
      <c r="G31" s="61">
        <f t="shared" ref="G31" si="11">+E29*0.4</f>
        <v>2.92E-2</v>
      </c>
      <c r="H31" s="62"/>
      <c r="I31" s="63"/>
      <c r="J31" s="64">
        <v>0.31</v>
      </c>
      <c r="K31" s="219"/>
      <c r="L31" s="219"/>
      <c r="M31" s="219"/>
      <c r="N31" s="222"/>
      <c r="O31" s="225"/>
      <c r="P31" s="228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s="54" customFormat="1" ht="14.1" customHeight="1" x14ac:dyDescent="0.25">
      <c r="A32" s="46"/>
      <c r="B32" s="231"/>
      <c r="C32" s="234"/>
      <c r="D32" s="219"/>
      <c r="E32" s="219"/>
      <c r="F32" s="60" t="s">
        <v>82</v>
      </c>
      <c r="G32" s="61" t="str">
        <f t="shared" ref="G32" si="12">IF(E29&lt;0.125,"NA",IF(0.125&lt;=E29,(0.8*E29)))</f>
        <v>NA</v>
      </c>
      <c r="H32" s="62"/>
      <c r="I32" s="63"/>
      <c r="J32" s="64"/>
      <c r="K32" s="219"/>
      <c r="L32" s="219"/>
      <c r="M32" s="219"/>
      <c r="N32" s="222"/>
      <c r="O32" s="225"/>
      <c r="P32" s="228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s="54" customFormat="1" ht="14.1" customHeight="1" thickBot="1" x14ac:dyDescent="0.3">
      <c r="A33" s="46"/>
      <c r="B33" s="232"/>
      <c r="C33" s="235"/>
      <c r="D33" s="220"/>
      <c r="E33" s="220"/>
      <c r="F33" s="65" t="s">
        <v>83</v>
      </c>
      <c r="G33" s="66">
        <f t="shared" ref="G33" si="13">+E29</f>
        <v>7.2999999999999995E-2</v>
      </c>
      <c r="H33" s="67"/>
      <c r="I33" s="68"/>
      <c r="J33" s="69">
        <v>0.3</v>
      </c>
      <c r="K33" s="220"/>
      <c r="L33" s="220"/>
      <c r="M33" s="220"/>
      <c r="N33" s="223"/>
      <c r="O33" s="226"/>
      <c r="P33" s="229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s="54" customFormat="1" ht="14.1" customHeight="1" x14ac:dyDescent="0.25">
      <c r="A34" s="46"/>
      <c r="B34" s="230">
        <v>4</v>
      </c>
      <c r="C34" s="233">
        <f t="shared" ref="C34" si="14">+C29+$N$12</f>
        <v>6.8999999999999986</v>
      </c>
      <c r="D34" s="218">
        <v>8.8999999999999996E-2</v>
      </c>
      <c r="E34" s="218">
        <v>7.6999999999999999E-2</v>
      </c>
      <c r="F34" s="55" t="s">
        <v>79</v>
      </c>
      <c r="G34" s="56">
        <v>0</v>
      </c>
      <c r="H34" s="57"/>
      <c r="I34" s="58"/>
      <c r="J34" s="59">
        <v>0.16600000000000001</v>
      </c>
      <c r="K34" s="218">
        <f t="shared" ref="K34" si="15">+IF(E34&lt;=0.12,(J36),(IF(E34&lt;0.16,((J35+2*J36+J37)/4),IF(E34&gt;=0.16,((J34+3*J35+2*J36+3*J37+J38)/10)))))</f>
        <v>0.42499999999999999</v>
      </c>
      <c r="L34" s="218">
        <f>ROUND(+(D29+D34)/2*(C34-C29),3)</f>
        <v>8.0000000000000002E-3</v>
      </c>
      <c r="M34" s="218">
        <f t="shared" ref="M34" si="16">ROUND(+K34*L34,4)</f>
        <v>3.3999999999999998E-3</v>
      </c>
      <c r="N34" s="221">
        <f t="shared" ref="N34" si="17">ROUND(+M34/$M$108*100,2)</f>
        <v>8.85</v>
      </c>
      <c r="O34" s="224"/>
      <c r="P34" s="227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s="54" customFormat="1" ht="14.1" customHeight="1" x14ac:dyDescent="0.25">
      <c r="A35" s="46"/>
      <c r="B35" s="231"/>
      <c r="C35" s="234"/>
      <c r="D35" s="219"/>
      <c r="E35" s="219"/>
      <c r="F35" s="60" t="s">
        <v>80</v>
      </c>
      <c r="G35" s="61" t="str">
        <f t="shared" ref="G35" si="18">IF(E34&lt;0.125,"NA",IF(0.125&lt;=E34,(0.2*E34)))</f>
        <v>NA</v>
      </c>
      <c r="H35" s="62"/>
      <c r="I35" s="63"/>
      <c r="J35" s="64"/>
      <c r="K35" s="219"/>
      <c r="L35" s="219"/>
      <c r="M35" s="219"/>
      <c r="N35" s="222"/>
      <c r="O35" s="225"/>
      <c r="P35" s="228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s="54" customFormat="1" ht="14.1" customHeight="1" x14ac:dyDescent="0.25">
      <c r="A36" s="46"/>
      <c r="B36" s="231"/>
      <c r="C36" s="234"/>
      <c r="D36" s="219"/>
      <c r="E36" s="219"/>
      <c r="F36" s="60" t="s">
        <v>81</v>
      </c>
      <c r="G36" s="61">
        <f t="shared" ref="G36" si="19">+E34*0.4</f>
        <v>3.0800000000000001E-2</v>
      </c>
      <c r="H36" s="62"/>
      <c r="I36" s="63"/>
      <c r="J36" s="64">
        <v>0.42499999999999999</v>
      </c>
      <c r="K36" s="219"/>
      <c r="L36" s="219"/>
      <c r="M36" s="219"/>
      <c r="N36" s="222"/>
      <c r="O36" s="225"/>
      <c r="P36" s="228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s="54" customFormat="1" ht="14.1" customHeight="1" x14ac:dyDescent="0.25">
      <c r="A37" s="46"/>
      <c r="B37" s="231"/>
      <c r="C37" s="234"/>
      <c r="D37" s="219"/>
      <c r="E37" s="219"/>
      <c r="F37" s="60" t="s">
        <v>82</v>
      </c>
      <c r="G37" s="61" t="str">
        <f t="shared" ref="G37" si="20">IF(E34&lt;0.125,"NA",IF(0.125&lt;=E34,(0.8*E34)))</f>
        <v>NA</v>
      </c>
      <c r="H37" s="62"/>
      <c r="I37" s="63"/>
      <c r="J37" s="64"/>
      <c r="K37" s="219"/>
      <c r="L37" s="219"/>
      <c r="M37" s="219"/>
      <c r="N37" s="222"/>
      <c r="O37" s="225"/>
      <c r="P37" s="228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s="54" customFormat="1" ht="14.1" customHeight="1" thickBot="1" x14ac:dyDescent="0.3">
      <c r="A38" s="46"/>
      <c r="B38" s="232"/>
      <c r="C38" s="235"/>
      <c r="D38" s="220"/>
      <c r="E38" s="220"/>
      <c r="F38" s="65" t="s">
        <v>83</v>
      </c>
      <c r="G38" s="66">
        <f t="shared" ref="G38" si="21">+E34</f>
        <v>7.6999999999999999E-2</v>
      </c>
      <c r="H38" s="67"/>
      <c r="I38" s="68"/>
      <c r="J38" s="69">
        <v>0.42</v>
      </c>
      <c r="K38" s="220"/>
      <c r="L38" s="220"/>
      <c r="M38" s="220"/>
      <c r="N38" s="223"/>
      <c r="O38" s="226"/>
      <c r="P38" s="229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s="54" customFormat="1" ht="14.1" customHeight="1" x14ac:dyDescent="0.25">
      <c r="A39" s="46"/>
      <c r="B39" s="230">
        <v>5</v>
      </c>
      <c r="C39" s="233">
        <f t="shared" ref="C39" si="22">+C34+$N$12</f>
        <v>6.9999999999999982</v>
      </c>
      <c r="D39" s="218">
        <v>0.108</v>
      </c>
      <c r="E39" s="218">
        <v>0.09</v>
      </c>
      <c r="F39" s="55" t="s">
        <v>79</v>
      </c>
      <c r="G39" s="56">
        <v>0</v>
      </c>
      <c r="H39" s="57"/>
      <c r="I39" s="58"/>
      <c r="J39" s="59">
        <v>0.31900000000000001</v>
      </c>
      <c r="K39" s="218">
        <f t="shared" ref="K39" si="23">+IF(E39&lt;=0.12,(J41),(IF(E39&lt;0.16,((J40+2*J41+J42)/4),IF(E39&gt;=0.16,((J39+3*J40+2*J41+3*J42+J43)/10)))))</f>
        <v>0.58699999999999997</v>
      </c>
      <c r="L39" s="218">
        <f>ROUND(+(D34+D39)/2*(C39-C34),3)</f>
        <v>0.01</v>
      </c>
      <c r="M39" s="218">
        <f t="shared" ref="M39" si="24">ROUND(+K39*L39,4)</f>
        <v>5.8999999999999999E-3</v>
      </c>
      <c r="N39" s="221">
        <f t="shared" ref="N39" si="25">ROUND(+M39/$M$108*100,2)</f>
        <v>15.36</v>
      </c>
      <c r="O39" s="224"/>
      <c r="P39" s="227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s="54" customFormat="1" ht="14.1" customHeight="1" x14ac:dyDescent="0.25">
      <c r="A40" s="46"/>
      <c r="B40" s="231"/>
      <c r="C40" s="234"/>
      <c r="D40" s="219"/>
      <c r="E40" s="219"/>
      <c r="F40" s="60" t="s">
        <v>80</v>
      </c>
      <c r="G40" s="61" t="str">
        <f t="shared" ref="G40" si="26">IF(E39&lt;0.125,"NA",IF(0.125&lt;=E39,(0.2*E39)))</f>
        <v>NA</v>
      </c>
      <c r="H40" s="62"/>
      <c r="I40" s="63"/>
      <c r="J40" s="64"/>
      <c r="K40" s="219"/>
      <c r="L40" s="219"/>
      <c r="M40" s="219"/>
      <c r="N40" s="222"/>
      <c r="O40" s="225"/>
      <c r="P40" s="228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s="54" customFormat="1" ht="14.1" customHeight="1" x14ac:dyDescent="0.25">
      <c r="A41" s="46"/>
      <c r="B41" s="231"/>
      <c r="C41" s="234"/>
      <c r="D41" s="219"/>
      <c r="E41" s="219"/>
      <c r="F41" s="60" t="s">
        <v>81</v>
      </c>
      <c r="G41" s="61">
        <f t="shared" ref="G41" si="27">+E39*0.4</f>
        <v>3.5999999999999997E-2</v>
      </c>
      <c r="H41" s="62"/>
      <c r="I41" s="63"/>
      <c r="J41" s="64">
        <v>0.58699999999999997</v>
      </c>
      <c r="K41" s="219"/>
      <c r="L41" s="219"/>
      <c r="M41" s="219"/>
      <c r="N41" s="222"/>
      <c r="O41" s="225"/>
      <c r="P41" s="228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s="54" customFormat="1" ht="14.1" customHeight="1" x14ac:dyDescent="0.25">
      <c r="A42" s="46"/>
      <c r="B42" s="231"/>
      <c r="C42" s="234"/>
      <c r="D42" s="219"/>
      <c r="E42" s="219"/>
      <c r="F42" s="60" t="s">
        <v>82</v>
      </c>
      <c r="G42" s="61" t="str">
        <f t="shared" ref="G42" si="28">IF(E39&lt;0.125,"NA",IF(0.125&lt;=E39,(0.8*E39)))</f>
        <v>NA</v>
      </c>
      <c r="H42" s="62"/>
      <c r="I42" s="63"/>
      <c r="J42" s="64"/>
      <c r="K42" s="219"/>
      <c r="L42" s="219"/>
      <c r="M42" s="219"/>
      <c r="N42" s="222"/>
      <c r="O42" s="225"/>
      <c r="P42" s="228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s="54" customFormat="1" ht="14.1" customHeight="1" thickBot="1" x14ac:dyDescent="0.3">
      <c r="A43" s="46"/>
      <c r="B43" s="232"/>
      <c r="C43" s="235"/>
      <c r="D43" s="220"/>
      <c r="E43" s="220"/>
      <c r="F43" s="65" t="s">
        <v>83</v>
      </c>
      <c r="G43" s="66">
        <f t="shared" ref="G43" si="29">+E39</f>
        <v>0.09</v>
      </c>
      <c r="H43" s="67"/>
      <c r="I43" s="68"/>
      <c r="J43" s="69">
        <v>0.56100000000000005</v>
      </c>
      <c r="K43" s="220"/>
      <c r="L43" s="220"/>
      <c r="M43" s="220"/>
      <c r="N43" s="223"/>
      <c r="O43" s="226"/>
      <c r="P43" s="229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s="54" customFormat="1" ht="14.1" customHeight="1" x14ac:dyDescent="0.25">
      <c r="A44" s="46"/>
      <c r="B44" s="230">
        <v>6</v>
      </c>
      <c r="C44" s="233">
        <f t="shared" ref="C44" si="30">+C39+$N$12</f>
        <v>7.0999999999999979</v>
      </c>
      <c r="D44" s="218">
        <v>0.113</v>
      </c>
      <c r="E44" s="218">
        <v>0.111</v>
      </c>
      <c r="F44" s="55" t="s">
        <v>79</v>
      </c>
      <c r="G44" s="56">
        <v>0</v>
      </c>
      <c r="H44" s="57"/>
      <c r="I44" s="58"/>
      <c r="J44" s="59">
        <v>0.14599999999999999</v>
      </c>
      <c r="K44" s="218">
        <f>+IF(E44&lt;=0.12,(J46),(IF(E44&lt;0.16,((J45+2*J46+J47)/4),IF(E44&gt;=0.16,((J44+3*J45+2*J46+3*J47+J48)/10)))))</f>
        <v>0.41</v>
      </c>
      <c r="L44" s="218">
        <f>ROUND(+(D39+D44)/2*(C44-C39),3)</f>
        <v>1.0999999999999999E-2</v>
      </c>
      <c r="M44" s="218">
        <f>ROUND(+K44*L44,4)</f>
        <v>4.4999999999999997E-3</v>
      </c>
      <c r="N44" s="221">
        <f>ROUND(+M44/$M$108*100,2)</f>
        <v>11.72</v>
      </c>
      <c r="O44" s="224"/>
      <c r="P44" s="227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s="54" customFormat="1" ht="14.1" customHeight="1" x14ac:dyDescent="0.25">
      <c r="A45" s="46"/>
      <c r="B45" s="231"/>
      <c r="C45" s="234"/>
      <c r="D45" s="219"/>
      <c r="E45" s="219"/>
      <c r="F45" s="60" t="s">
        <v>80</v>
      </c>
      <c r="G45" s="61" t="str">
        <f t="shared" ref="G45" si="31">IF(E44&lt;0.125,"NA",IF(0.125&lt;=E44,(0.2*E44)))</f>
        <v>NA</v>
      </c>
      <c r="H45" s="62"/>
      <c r="I45" s="63"/>
      <c r="J45" s="64"/>
      <c r="K45" s="219"/>
      <c r="L45" s="219"/>
      <c r="M45" s="219"/>
      <c r="N45" s="222"/>
      <c r="O45" s="225"/>
      <c r="P45" s="228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s="54" customFormat="1" ht="14.1" customHeight="1" x14ac:dyDescent="0.25">
      <c r="A46" s="46"/>
      <c r="B46" s="231"/>
      <c r="C46" s="234"/>
      <c r="D46" s="219"/>
      <c r="E46" s="219"/>
      <c r="F46" s="60" t="s">
        <v>81</v>
      </c>
      <c r="G46" s="61">
        <f t="shared" ref="G46" si="32">+E44*0.4</f>
        <v>4.4400000000000002E-2</v>
      </c>
      <c r="H46" s="62"/>
      <c r="I46" s="63"/>
      <c r="J46" s="64">
        <v>0.41</v>
      </c>
      <c r="K46" s="219"/>
      <c r="L46" s="219"/>
      <c r="M46" s="219"/>
      <c r="N46" s="222"/>
      <c r="O46" s="225"/>
      <c r="P46" s="228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s="54" customFormat="1" ht="14.1" customHeight="1" x14ac:dyDescent="0.25">
      <c r="A47" s="46"/>
      <c r="B47" s="231"/>
      <c r="C47" s="234"/>
      <c r="D47" s="219"/>
      <c r="E47" s="219"/>
      <c r="F47" s="60" t="s">
        <v>82</v>
      </c>
      <c r="G47" s="61" t="str">
        <f t="shared" ref="G47" si="33">IF(E44&lt;0.125,"NA",IF(0.125&lt;=E44,(0.8*E44)))</f>
        <v>NA</v>
      </c>
      <c r="H47" s="62"/>
      <c r="I47" s="63"/>
      <c r="J47" s="64"/>
      <c r="K47" s="219"/>
      <c r="L47" s="219"/>
      <c r="M47" s="219"/>
      <c r="N47" s="222"/>
      <c r="O47" s="225"/>
      <c r="P47" s="228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s="54" customFormat="1" ht="14.1" customHeight="1" thickBot="1" x14ac:dyDescent="0.3">
      <c r="A48" s="46"/>
      <c r="B48" s="232"/>
      <c r="C48" s="235"/>
      <c r="D48" s="220"/>
      <c r="E48" s="220"/>
      <c r="F48" s="65" t="s">
        <v>83</v>
      </c>
      <c r="G48" s="66">
        <f t="shared" ref="G48" si="34">+E44</f>
        <v>0.111</v>
      </c>
      <c r="H48" s="67"/>
      <c r="I48" s="68"/>
      <c r="J48" s="69">
        <v>0.41099999999999998</v>
      </c>
      <c r="K48" s="220"/>
      <c r="L48" s="220"/>
      <c r="M48" s="220"/>
      <c r="N48" s="223"/>
      <c r="O48" s="226"/>
      <c r="P48" s="229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s="54" customFormat="1" ht="14.1" customHeight="1" x14ac:dyDescent="0.25">
      <c r="A49" s="46"/>
      <c r="B49" s="230">
        <v>7</v>
      </c>
      <c r="C49" s="233">
        <f t="shared" ref="C49" si="35">+C44+$N$12</f>
        <v>7.1999999999999975</v>
      </c>
      <c r="D49" s="218">
        <v>0.10299999999999999</v>
      </c>
      <c r="E49" s="218">
        <v>0.10299999999999999</v>
      </c>
      <c r="F49" s="55" t="s">
        <v>79</v>
      </c>
      <c r="G49" s="56">
        <v>0</v>
      </c>
      <c r="H49" s="57"/>
      <c r="I49" s="58"/>
      <c r="J49" s="59">
        <v>0.17399999999999999</v>
      </c>
      <c r="K49" s="218">
        <f>+IF(E49&lt;=0.12,(J51),(IF(E49&lt;0.16,((J50+2*J51+J52)/4),IF(E49&gt;=0.16,((J49+3*J50+2*J51+3*J52+J53)/10)))))</f>
        <v>0.33300000000000002</v>
      </c>
      <c r="L49" s="218">
        <f>ROUND(+(D44+D49)/2*(C49-C44),3)</f>
        <v>1.0999999999999999E-2</v>
      </c>
      <c r="M49" s="218">
        <f>ROUND(+K49*L49,4)</f>
        <v>3.7000000000000002E-3</v>
      </c>
      <c r="N49" s="221">
        <f>ROUND(+M49/$M$108*100,2)</f>
        <v>9.64</v>
      </c>
      <c r="O49" s="224"/>
      <c r="P49" s="227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s="54" customFormat="1" ht="14.1" customHeight="1" x14ac:dyDescent="0.25">
      <c r="A50" s="46"/>
      <c r="B50" s="231"/>
      <c r="C50" s="234"/>
      <c r="D50" s="219"/>
      <c r="E50" s="219"/>
      <c r="F50" s="60" t="s">
        <v>80</v>
      </c>
      <c r="G50" s="61" t="str">
        <f t="shared" ref="G50" si="36">IF(E49&lt;0.125,"NA",IF(0.125&lt;=E49,(0.2*E49)))</f>
        <v>NA</v>
      </c>
      <c r="H50" s="62"/>
      <c r="I50" s="63"/>
      <c r="J50" s="64"/>
      <c r="K50" s="219"/>
      <c r="L50" s="219"/>
      <c r="M50" s="219"/>
      <c r="N50" s="222"/>
      <c r="O50" s="225"/>
      <c r="P50" s="228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s="54" customFormat="1" ht="14.1" customHeight="1" x14ac:dyDescent="0.25">
      <c r="A51" s="46"/>
      <c r="B51" s="231"/>
      <c r="C51" s="234"/>
      <c r="D51" s="219"/>
      <c r="E51" s="219"/>
      <c r="F51" s="60" t="s">
        <v>81</v>
      </c>
      <c r="G51" s="61">
        <f t="shared" ref="G51" si="37">+E49*0.4</f>
        <v>4.1200000000000001E-2</v>
      </c>
      <c r="H51" s="62"/>
      <c r="I51" s="63"/>
      <c r="J51" s="64">
        <v>0.33300000000000002</v>
      </c>
      <c r="K51" s="219"/>
      <c r="L51" s="219"/>
      <c r="M51" s="219"/>
      <c r="N51" s="222"/>
      <c r="O51" s="225"/>
      <c r="P51" s="228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s="54" customFormat="1" ht="14.1" customHeight="1" x14ac:dyDescent="0.25">
      <c r="A52" s="46"/>
      <c r="B52" s="231"/>
      <c r="C52" s="234"/>
      <c r="D52" s="219"/>
      <c r="E52" s="219"/>
      <c r="F52" s="60" t="s">
        <v>82</v>
      </c>
      <c r="G52" s="61" t="str">
        <f t="shared" ref="G52" si="38">IF(E49&lt;0.125,"NA",IF(0.125&lt;=E49,(0.8*E49)))</f>
        <v>NA</v>
      </c>
      <c r="H52" s="62"/>
      <c r="I52" s="63"/>
      <c r="J52" s="64"/>
      <c r="K52" s="219"/>
      <c r="L52" s="219"/>
      <c r="M52" s="219"/>
      <c r="N52" s="222"/>
      <c r="O52" s="225"/>
      <c r="P52" s="228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s="54" customFormat="1" ht="14.1" customHeight="1" thickBot="1" x14ac:dyDescent="0.3">
      <c r="A53" s="46"/>
      <c r="B53" s="232"/>
      <c r="C53" s="235"/>
      <c r="D53" s="220"/>
      <c r="E53" s="220"/>
      <c r="F53" s="65" t="s">
        <v>83</v>
      </c>
      <c r="G53" s="66">
        <f t="shared" ref="G53" si="39">+E49</f>
        <v>0.10299999999999999</v>
      </c>
      <c r="H53" s="67"/>
      <c r="I53" s="68"/>
      <c r="J53" s="69">
        <v>0.3</v>
      </c>
      <c r="K53" s="220"/>
      <c r="L53" s="220"/>
      <c r="M53" s="220"/>
      <c r="N53" s="223"/>
      <c r="O53" s="226"/>
      <c r="P53" s="229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s="54" customFormat="1" ht="14.1" customHeight="1" x14ac:dyDescent="0.25">
      <c r="A54" s="46"/>
      <c r="B54" s="230">
        <v>8</v>
      </c>
      <c r="C54" s="233">
        <f t="shared" ref="C54" si="40">+C49+$N$12</f>
        <v>7.2999999999999972</v>
      </c>
      <c r="D54" s="218">
        <v>0.10299999999999999</v>
      </c>
      <c r="E54" s="218">
        <v>9.6000000000000002E-2</v>
      </c>
      <c r="F54" s="55" t="s">
        <v>79</v>
      </c>
      <c r="G54" s="56">
        <v>0</v>
      </c>
      <c r="H54" s="57"/>
      <c r="I54" s="58"/>
      <c r="J54" s="59">
        <v>0.20499999999999999</v>
      </c>
      <c r="K54" s="218">
        <f t="shared" ref="K54" si="41">+IF(E54&lt;=0.12,(J56),(IF(E54&lt;0.16,((J55+2*J56+J57)/4),IF(E54&gt;=0.16,((J54+3*J55+2*J56+3*J57+J58)/10)))))</f>
        <v>0.56799999999999995</v>
      </c>
      <c r="L54" s="218">
        <f>ROUND(+(D49+D54)/2*(C54-C49),3)</f>
        <v>0.01</v>
      </c>
      <c r="M54" s="218">
        <f t="shared" ref="M54" si="42">ROUND(+K54*L54,4)</f>
        <v>5.7000000000000002E-3</v>
      </c>
      <c r="N54" s="221">
        <f t="shared" ref="N54" si="43">ROUND(+M54/$M$108*100,2)</f>
        <v>14.84</v>
      </c>
      <c r="O54" s="224"/>
      <c r="P54" s="227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s="54" customFormat="1" ht="14.1" customHeight="1" x14ac:dyDescent="0.25">
      <c r="A55" s="46"/>
      <c r="B55" s="231"/>
      <c r="C55" s="234"/>
      <c r="D55" s="219"/>
      <c r="E55" s="219"/>
      <c r="F55" s="60" t="s">
        <v>80</v>
      </c>
      <c r="G55" s="61" t="str">
        <f t="shared" ref="G55" si="44">IF(E54&lt;0.125,"NA",IF(0.125&lt;=E54,(0.2*E54)))</f>
        <v>NA</v>
      </c>
      <c r="H55" s="62"/>
      <c r="I55" s="63"/>
      <c r="J55" s="64"/>
      <c r="K55" s="219"/>
      <c r="L55" s="219"/>
      <c r="M55" s="219"/>
      <c r="N55" s="222"/>
      <c r="O55" s="225"/>
      <c r="P55" s="228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s="54" customFormat="1" ht="14.1" customHeight="1" x14ac:dyDescent="0.25">
      <c r="A56" s="46"/>
      <c r="B56" s="231"/>
      <c r="C56" s="234"/>
      <c r="D56" s="219"/>
      <c r="E56" s="219"/>
      <c r="F56" s="60" t="s">
        <v>81</v>
      </c>
      <c r="G56" s="61">
        <f t="shared" ref="G56" si="45">+E54*0.4</f>
        <v>3.8400000000000004E-2</v>
      </c>
      <c r="H56" s="62"/>
      <c r="I56" s="63"/>
      <c r="J56" s="64">
        <v>0.56799999999999995</v>
      </c>
      <c r="K56" s="219"/>
      <c r="L56" s="219"/>
      <c r="M56" s="219"/>
      <c r="N56" s="222"/>
      <c r="O56" s="225"/>
      <c r="P56" s="228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s="54" customFormat="1" ht="14.1" customHeight="1" x14ac:dyDescent="0.25">
      <c r="A57" s="46"/>
      <c r="B57" s="231"/>
      <c r="C57" s="234"/>
      <c r="D57" s="219"/>
      <c r="E57" s="219"/>
      <c r="F57" s="60" t="s">
        <v>82</v>
      </c>
      <c r="G57" s="61" t="str">
        <f t="shared" ref="G57" si="46">IF(E54&lt;0.125,"NA",IF(0.125&lt;=E54,(0.8*E54)))</f>
        <v>NA</v>
      </c>
      <c r="H57" s="62"/>
      <c r="I57" s="63"/>
      <c r="J57" s="64"/>
      <c r="K57" s="219"/>
      <c r="L57" s="219"/>
      <c r="M57" s="219"/>
      <c r="N57" s="222"/>
      <c r="O57" s="225"/>
      <c r="P57" s="228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s="54" customFormat="1" ht="14.1" customHeight="1" thickBot="1" x14ac:dyDescent="0.3">
      <c r="A58" s="46"/>
      <c r="B58" s="232"/>
      <c r="C58" s="235"/>
      <c r="D58" s="220"/>
      <c r="E58" s="220"/>
      <c r="F58" s="65" t="s">
        <v>83</v>
      </c>
      <c r="G58" s="66">
        <f t="shared" ref="G58" si="47">+E54</f>
        <v>9.6000000000000002E-2</v>
      </c>
      <c r="H58" s="67"/>
      <c r="I58" s="68"/>
      <c r="J58" s="69">
        <v>0.56999999999999995</v>
      </c>
      <c r="K58" s="220"/>
      <c r="L58" s="220"/>
      <c r="M58" s="220"/>
      <c r="N58" s="223"/>
      <c r="O58" s="226"/>
      <c r="P58" s="229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s="54" customFormat="1" ht="14.1" customHeight="1" x14ac:dyDescent="0.25">
      <c r="A59" s="46"/>
      <c r="B59" s="230">
        <v>9</v>
      </c>
      <c r="C59" s="233">
        <f t="shared" ref="C59" si="48">+C54+$N$12</f>
        <v>7.3999999999999968</v>
      </c>
      <c r="D59" s="218">
        <v>0.106</v>
      </c>
      <c r="E59" s="218">
        <v>0.104</v>
      </c>
      <c r="F59" s="55" t="s">
        <v>79</v>
      </c>
      <c r="G59" s="56">
        <v>0</v>
      </c>
      <c r="H59" s="57"/>
      <c r="I59" s="58"/>
      <c r="J59" s="59">
        <v>0.11799999999999999</v>
      </c>
      <c r="K59" s="218">
        <f t="shared" ref="K59" si="49">+IF(E59&lt;=0.12,(J61),(IF(E59&lt;0.16,((J60+2*J61+J62)/4),IF(E59&gt;=0.16,((J59+3*J60+2*J61+3*J62+J63)/10)))))</f>
        <v>0.25700000000000001</v>
      </c>
      <c r="L59" s="218">
        <f>ROUND(+(D54+D59)/2*(C59-C54),3)</f>
        <v>0.01</v>
      </c>
      <c r="M59" s="218">
        <f t="shared" ref="M59" si="50">ROUND(+K59*L59,4)</f>
        <v>2.5999999999999999E-3</v>
      </c>
      <c r="N59" s="221">
        <f t="shared" ref="N59" si="51">ROUND(+M59/$M$108*100,2)</f>
        <v>6.77</v>
      </c>
      <c r="O59" s="224"/>
      <c r="P59" s="227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s="54" customFormat="1" ht="14.1" customHeight="1" x14ac:dyDescent="0.25">
      <c r="A60" s="46"/>
      <c r="B60" s="231"/>
      <c r="C60" s="234"/>
      <c r="D60" s="219"/>
      <c r="E60" s="219"/>
      <c r="F60" s="60" t="s">
        <v>80</v>
      </c>
      <c r="G60" s="61" t="str">
        <f t="shared" ref="G60" si="52">IF(E59&lt;0.125,"NA",IF(0.125&lt;=E59,(0.2*E59)))</f>
        <v>NA</v>
      </c>
      <c r="H60" s="62"/>
      <c r="I60" s="63"/>
      <c r="J60" s="64"/>
      <c r="K60" s="219"/>
      <c r="L60" s="219"/>
      <c r="M60" s="219"/>
      <c r="N60" s="222"/>
      <c r="O60" s="225"/>
      <c r="P60" s="228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s="54" customFormat="1" ht="14.1" customHeight="1" x14ac:dyDescent="0.25">
      <c r="A61" s="46"/>
      <c r="B61" s="231"/>
      <c r="C61" s="234"/>
      <c r="D61" s="219"/>
      <c r="E61" s="219"/>
      <c r="F61" s="60" t="s">
        <v>81</v>
      </c>
      <c r="G61" s="61">
        <f t="shared" ref="G61" si="53">+E59*0.4</f>
        <v>4.1599999999999998E-2</v>
      </c>
      <c r="H61" s="62"/>
      <c r="I61" s="63"/>
      <c r="J61" s="64">
        <v>0.25700000000000001</v>
      </c>
      <c r="K61" s="219"/>
      <c r="L61" s="219"/>
      <c r="M61" s="219"/>
      <c r="N61" s="222"/>
      <c r="O61" s="225"/>
      <c r="P61" s="228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s="54" customFormat="1" ht="14.1" customHeight="1" x14ac:dyDescent="0.25">
      <c r="A62" s="46"/>
      <c r="B62" s="231"/>
      <c r="C62" s="234"/>
      <c r="D62" s="219"/>
      <c r="E62" s="219"/>
      <c r="F62" s="60" t="s">
        <v>82</v>
      </c>
      <c r="G62" s="61" t="str">
        <f t="shared" ref="G62" si="54">IF(E59&lt;0.125,"NA",IF(0.125&lt;=E59,(0.8*E59)))</f>
        <v>NA</v>
      </c>
      <c r="H62" s="62"/>
      <c r="I62" s="63"/>
      <c r="J62" s="64"/>
      <c r="K62" s="219"/>
      <c r="L62" s="219"/>
      <c r="M62" s="219"/>
      <c r="N62" s="222"/>
      <c r="O62" s="225"/>
      <c r="P62" s="228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s="54" customFormat="1" ht="14.1" customHeight="1" thickBot="1" x14ac:dyDescent="0.3">
      <c r="A63" s="46"/>
      <c r="B63" s="232"/>
      <c r="C63" s="235"/>
      <c r="D63" s="220"/>
      <c r="E63" s="220"/>
      <c r="F63" s="65" t="s">
        <v>83</v>
      </c>
      <c r="G63" s="66">
        <f t="shared" ref="G63" si="55">+E59</f>
        <v>0.104</v>
      </c>
      <c r="H63" s="67"/>
      <c r="I63" s="68"/>
      <c r="J63" s="69">
        <v>0.251</v>
      </c>
      <c r="K63" s="220"/>
      <c r="L63" s="220"/>
      <c r="M63" s="220"/>
      <c r="N63" s="223"/>
      <c r="O63" s="226"/>
      <c r="P63" s="229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s="54" customFormat="1" ht="14.1" customHeight="1" x14ac:dyDescent="0.25">
      <c r="A64" s="46" t="s">
        <v>123</v>
      </c>
      <c r="B64" s="230">
        <v>10</v>
      </c>
      <c r="C64" s="233">
        <f t="shared" ref="C64" si="56">+C59+$N$12</f>
        <v>7.4999999999999964</v>
      </c>
      <c r="D64" s="218">
        <v>9.6000000000000002E-2</v>
      </c>
      <c r="E64" s="218">
        <v>0.11</v>
      </c>
      <c r="F64" s="55" t="s">
        <v>79</v>
      </c>
      <c r="G64" s="56">
        <v>0</v>
      </c>
      <c r="H64" s="57"/>
      <c r="I64" s="58"/>
      <c r="J64" s="59">
        <v>0.122</v>
      </c>
      <c r="K64" s="218">
        <f t="shared" ref="K64" si="57">+IF(E64&lt;=0.12,(J66),(IF(E64&lt;0.16,((J65+2*J66+J67)/4),IF(E64&gt;=0.16,((J64+3*J65+2*J66+3*J67+J68)/10)))))</f>
        <v>0.32600000000000001</v>
      </c>
      <c r="L64" s="218">
        <f>ROUND(+(D59+D64)/2*(C64-C59),3)</f>
        <v>0.01</v>
      </c>
      <c r="M64" s="218">
        <f t="shared" ref="M64" si="58">ROUND(+K64*L64,4)</f>
        <v>3.3E-3</v>
      </c>
      <c r="N64" s="221">
        <f t="shared" ref="N64" si="59">ROUND(+M64/$M$108*100,2)</f>
        <v>8.59</v>
      </c>
      <c r="O64" s="224"/>
      <c r="P64" s="227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s="54" customFormat="1" ht="14.1" customHeight="1" x14ac:dyDescent="0.25">
      <c r="A65" s="46"/>
      <c r="B65" s="231"/>
      <c r="C65" s="234"/>
      <c r="D65" s="219"/>
      <c r="E65" s="219"/>
      <c r="F65" s="60" t="s">
        <v>80</v>
      </c>
      <c r="G65" s="61" t="str">
        <f t="shared" ref="G65" si="60">IF(E64&lt;0.125,"NA",IF(0.125&lt;=E64,(0.2*E64)))</f>
        <v>NA</v>
      </c>
      <c r="H65" s="62"/>
      <c r="I65" s="63"/>
      <c r="J65" s="64"/>
      <c r="K65" s="219"/>
      <c r="L65" s="219"/>
      <c r="M65" s="219"/>
      <c r="N65" s="222"/>
      <c r="O65" s="225"/>
      <c r="P65" s="228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s="54" customFormat="1" ht="14.1" customHeight="1" x14ac:dyDescent="0.25">
      <c r="A66" s="46"/>
      <c r="B66" s="231"/>
      <c r="C66" s="234"/>
      <c r="D66" s="219"/>
      <c r="E66" s="219"/>
      <c r="F66" s="60" t="s">
        <v>81</v>
      </c>
      <c r="G66" s="61">
        <f t="shared" ref="G66" si="61">+E64*0.4</f>
        <v>4.4000000000000004E-2</v>
      </c>
      <c r="H66" s="62"/>
      <c r="I66" s="63"/>
      <c r="J66" s="64">
        <v>0.32600000000000001</v>
      </c>
      <c r="K66" s="219"/>
      <c r="L66" s="219"/>
      <c r="M66" s="219"/>
      <c r="N66" s="222"/>
      <c r="O66" s="225"/>
      <c r="P66" s="228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s="54" customFormat="1" ht="14.1" customHeight="1" x14ac:dyDescent="0.25">
      <c r="A67" s="46"/>
      <c r="B67" s="231"/>
      <c r="C67" s="234"/>
      <c r="D67" s="219"/>
      <c r="E67" s="219"/>
      <c r="F67" s="60" t="s">
        <v>82</v>
      </c>
      <c r="G67" s="61" t="str">
        <f t="shared" ref="G67" si="62">IF(E64&lt;0.125,"NA",IF(0.125&lt;=E64,(0.8*E64)))</f>
        <v>NA</v>
      </c>
      <c r="H67" s="62"/>
      <c r="I67" s="63"/>
      <c r="J67" s="64"/>
      <c r="K67" s="219"/>
      <c r="L67" s="219"/>
      <c r="M67" s="219"/>
      <c r="N67" s="222"/>
      <c r="O67" s="225"/>
      <c r="P67" s="228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s="54" customFormat="1" ht="14.1" customHeight="1" thickBot="1" x14ac:dyDescent="0.3">
      <c r="A68" s="46"/>
      <c r="B68" s="232"/>
      <c r="C68" s="235"/>
      <c r="D68" s="220"/>
      <c r="E68" s="220"/>
      <c r="F68" s="65" t="s">
        <v>83</v>
      </c>
      <c r="G68" s="66">
        <f t="shared" ref="G68" si="63">+E64</f>
        <v>0.11</v>
      </c>
      <c r="H68" s="67"/>
      <c r="I68" s="68"/>
      <c r="J68" s="69">
        <v>0.32100000000000001</v>
      </c>
      <c r="K68" s="220"/>
      <c r="L68" s="220"/>
      <c r="M68" s="220"/>
      <c r="N68" s="223"/>
      <c r="O68" s="226"/>
      <c r="P68" s="229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s="54" customFormat="1" ht="14.1" customHeight="1" x14ac:dyDescent="0.25">
      <c r="A69" s="46"/>
      <c r="B69" s="230">
        <f>+B64+1</f>
        <v>11</v>
      </c>
      <c r="C69" s="233">
        <f t="shared" ref="C69" si="64">+C64+$N$12</f>
        <v>7.5999999999999961</v>
      </c>
      <c r="D69" s="218">
        <v>7.8E-2</v>
      </c>
      <c r="E69" s="218">
        <v>0.104</v>
      </c>
      <c r="F69" s="55" t="s">
        <v>79</v>
      </c>
      <c r="G69" s="56">
        <v>0</v>
      </c>
      <c r="H69" s="57"/>
      <c r="I69" s="58"/>
      <c r="J69" s="59">
        <v>0.182</v>
      </c>
      <c r="K69" s="218">
        <f t="shared" ref="K69" si="65">+IF(E69&lt;=0.12,(J71),(IF(E69&lt;0.16,((J70+2*J71+J72)/4),IF(E69&gt;=0.16,((J69+3*J70+2*J71+3*J72+J73)/10)))))</f>
        <v>0.30399999999999999</v>
      </c>
      <c r="L69" s="218">
        <f>ROUND(+(D64+D69)/2*(C69-C64),3)</f>
        <v>8.9999999999999993E-3</v>
      </c>
      <c r="M69" s="218">
        <f t="shared" ref="M69" si="66">ROUND(+K69*L69,4)</f>
        <v>2.7000000000000001E-3</v>
      </c>
      <c r="N69" s="221">
        <f t="shared" ref="N69" si="67">ROUND(+M69/$M$108*100,2)</f>
        <v>7.03</v>
      </c>
      <c r="O69" s="224"/>
      <c r="P69" s="227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s="54" customFormat="1" ht="14.1" customHeight="1" x14ac:dyDescent="0.25">
      <c r="A70" s="46"/>
      <c r="B70" s="231"/>
      <c r="C70" s="234"/>
      <c r="D70" s="219"/>
      <c r="E70" s="219"/>
      <c r="F70" s="60" t="s">
        <v>80</v>
      </c>
      <c r="G70" s="61" t="str">
        <f t="shared" ref="G70" si="68">IF(E69&lt;0.125,"NA",IF(0.125&lt;=E69,(0.2*E69)))</f>
        <v>NA</v>
      </c>
      <c r="H70" s="62"/>
      <c r="I70" s="63"/>
      <c r="J70" s="64"/>
      <c r="K70" s="219"/>
      <c r="L70" s="219"/>
      <c r="M70" s="219"/>
      <c r="N70" s="222"/>
      <c r="O70" s="225"/>
      <c r="P70" s="228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s="54" customFormat="1" ht="14.1" customHeight="1" x14ac:dyDescent="0.25">
      <c r="A71" s="46"/>
      <c r="B71" s="231"/>
      <c r="C71" s="234"/>
      <c r="D71" s="219"/>
      <c r="E71" s="219"/>
      <c r="F71" s="60" t="s">
        <v>81</v>
      </c>
      <c r="G71" s="61">
        <f t="shared" ref="G71" si="69">+E69*0.4</f>
        <v>4.1599999999999998E-2</v>
      </c>
      <c r="H71" s="62"/>
      <c r="I71" s="63"/>
      <c r="J71" s="64">
        <v>0.30399999999999999</v>
      </c>
      <c r="K71" s="219"/>
      <c r="L71" s="219"/>
      <c r="M71" s="219"/>
      <c r="N71" s="222"/>
      <c r="O71" s="225"/>
      <c r="P71" s="228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s="54" customFormat="1" ht="14.1" customHeight="1" x14ac:dyDescent="0.25">
      <c r="A72" s="46"/>
      <c r="B72" s="231"/>
      <c r="C72" s="234"/>
      <c r="D72" s="219"/>
      <c r="E72" s="219"/>
      <c r="F72" s="60" t="s">
        <v>82</v>
      </c>
      <c r="G72" s="61" t="str">
        <f t="shared" ref="G72" si="70">IF(E69&lt;0.125,"NA",IF(0.125&lt;=E69,(0.8*E69)))</f>
        <v>NA</v>
      </c>
      <c r="H72" s="62"/>
      <c r="I72" s="63"/>
      <c r="J72" s="64"/>
      <c r="K72" s="219"/>
      <c r="L72" s="219"/>
      <c r="M72" s="219"/>
      <c r="N72" s="222"/>
      <c r="O72" s="225"/>
      <c r="P72" s="228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s="54" customFormat="1" ht="14.1" customHeight="1" thickBot="1" x14ac:dyDescent="0.3">
      <c r="A73" s="46"/>
      <c r="B73" s="232"/>
      <c r="C73" s="235"/>
      <c r="D73" s="220"/>
      <c r="E73" s="220"/>
      <c r="F73" s="65" t="s">
        <v>83</v>
      </c>
      <c r="G73" s="66">
        <f t="shared" ref="G73" si="71">+E69</f>
        <v>0.104</v>
      </c>
      <c r="H73" s="67"/>
      <c r="I73" s="68"/>
      <c r="J73" s="69">
        <v>0.31</v>
      </c>
      <c r="K73" s="220"/>
      <c r="L73" s="220"/>
      <c r="M73" s="220"/>
      <c r="N73" s="223"/>
      <c r="O73" s="226"/>
      <c r="P73" s="229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s="54" customFormat="1" ht="14.1" customHeight="1" x14ac:dyDescent="0.25">
      <c r="A74" s="46"/>
      <c r="B74" s="230">
        <f>+B69+1</f>
        <v>12</v>
      </c>
      <c r="C74" s="233">
        <f t="shared" ref="C74:C79" si="72">+C69+$N$12</f>
        <v>7.6999999999999957</v>
      </c>
      <c r="D74" s="218">
        <v>7.0000000000000007E-2</v>
      </c>
      <c r="E74" s="218">
        <v>7.2999999999999995E-2</v>
      </c>
      <c r="F74" s="55" t="s">
        <v>79</v>
      </c>
      <c r="G74" s="56">
        <v>0</v>
      </c>
      <c r="H74" s="57"/>
      <c r="I74" s="58"/>
      <c r="J74" s="59">
        <v>9.9000000000000005E-2</v>
      </c>
      <c r="K74" s="218">
        <f t="shared" ref="K74" si="73">+IF(E74&lt;=0.12,(J76),(IF(E74&lt;0.16,((J75+2*J76+J77)/4),IF(E74&gt;=0.16,((J74+3*J75+2*J76+3*J77+J78)/10)))))</f>
        <v>0.13</v>
      </c>
      <c r="L74" s="218">
        <f>ROUND(+(D69+D74)/2*(C74-C69),3)</f>
        <v>7.0000000000000001E-3</v>
      </c>
      <c r="M74" s="218">
        <f t="shared" ref="M74" si="74">ROUND(+K74*L74,4)</f>
        <v>8.9999999999999998E-4</v>
      </c>
      <c r="N74" s="221">
        <f t="shared" ref="N74" si="75">ROUND(+M74/$M$108*100,2)</f>
        <v>2.34</v>
      </c>
      <c r="O74" s="224"/>
      <c r="P74" s="227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s="54" customFormat="1" ht="14.1" customHeight="1" x14ac:dyDescent="0.25">
      <c r="A75" s="46"/>
      <c r="B75" s="231"/>
      <c r="C75" s="234"/>
      <c r="D75" s="219"/>
      <c r="E75" s="219"/>
      <c r="F75" s="60" t="s">
        <v>80</v>
      </c>
      <c r="G75" s="61" t="str">
        <f t="shared" ref="G75" si="76">IF(E74&lt;0.125,"NA",IF(0.125&lt;=E74,(0.2*E74)))</f>
        <v>NA</v>
      </c>
      <c r="H75" s="62"/>
      <c r="I75" s="63"/>
      <c r="J75" s="64"/>
      <c r="K75" s="219"/>
      <c r="L75" s="219"/>
      <c r="M75" s="219"/>
      <c r="N75" s="222"/>
      <c r="O75" s="225"/>
      <c r="P75" s="228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s="54" customFormat="1" ht="14.1" customHeight="1" x14ac:dyDescent="0.25">
      <c r="A76" s="46"/>
      <c r="B76" s="231"/>
      <c r="C76" s="234"/>
      <c r="D76" s="219"/>
      <c r="E76" s="219"/>
      <c r="F76" s="60" t="s">
        <v>81</v>
      </c>
      <c r="G76" s="61">
        <f t="shared" ref="G76" si="77">+E74*0.4</f>
        <v>2.92E-2</v>
      </c>
      <c r="H76" s="62"/>
      <c r="I76" s="63"/>
      <c r="J76" s="64">
        <v>0.13</v>
      </c>
      <c r="K76" s="219"/>
      <c r="L76" s="219"/>
      <c r="M76" s="219"/>
      <c r="N76" s="222"/>
      <c r="O76" s="225"/>
      <c r="P76" s="228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s="54" customFormat="1" ht="14.1" customHeight="1" x14ac:dyDescent="0.25">
      <c r="A77" s="46"/>
      <c r="B77" s="231"/>
      <c r="C77" s="234"/>
      <c r="D77" s="219"/>
      <c r="E77" s="219"/>
      <c r="F77" s="60" t="s">
        <v>82</v>
      </c>
      <c r="G77" s="61" t="str">
        <f t="shared" ref="G77" si="78">IF(E74&lt;0.125,"NA",IF(0.125&lt;=E74,(0.8*E74)))</f>
        <v>NA</v>
      </c>
      <c r="H77" s="62"/>
      <c r="I77" s="63"/>
      <c r="J77" s="64"/>
      <c r="K77" s="219"/>
      <c r="L77" s="219"/>
      <c r="M77" s="219"/>
      <c r="N77" s="222"/>
      <c r="O77" s="225"/>
      <c r="P77" s="228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s="54" customFormat="1" ht="14.1" customHeight="1" thickBot="1" x14ac:dyDescent="0.3">
      <c r="A78" s="46"/>
      <c r="B78" s="232"/>
      <c r="C78" s="235"/>
      <c r="D78" s="220"/>
      <c r="E78" s="220"/>
      <c r="F78" s="65" t="s">
        <v>83</v>
      </c>
      <c r="G78" s="66">
        <f t="shared" ref="G78" si="79">+E74</f>
        <v>7.2999999999999995E-2</v>
      </c>
      <c r="H78" s="67"/>
      <c r="I78" s="68"/>
      <c r="J78" s="69">
        <v>7.4999999999999997E-2</v>
      </c>
      <c r="K78" s="220"/>
      <c r="L78" s="220"/>
      <c r="M78" s="220"/>
      <c r="N78" s="223"/>
      <c r="O78" s="226"/>
      <c r="P78" s="229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s="54" customFormat="1" ht="14.1" customHeight="1" x14ac:dyDescent="0.25">
      <c r="A79" s="46"/>
      <c r="B79" s="230">
        <f t="shared" ref="B79" si="80">+B74+1</f>
        <v>13</v>
      </c>
      <c r="C79" s="233">
        <f t="shared" si="72"/>
        <v>7.7999999999999954</v>
      </c>
      <c r="D79" s="218">
        <v>3.7999999999999999E-2</v>
      </c>
      <c r="E79" s="218">
        <v>5.5E-2</v>
      </c>
      <c r="F79" s="55" t="s">
        <v>79</v>
      </c>
      <c r="G79" s="56">
        <v>0</v>
      </c>
      <c r="H79" s="57"/>
      <c r="I79" s="58"/>
      <c r="J79" s="59">
        <v>5.6000000000000001E-2</v>
      </c>
      <c r="K79" s="218">
        <f t="shared" ref="K79" si="81">+IF(E79&lt;=0.12,(J81),(IF(E79&lt;0.16,((J80+2*J81+J82)/4),IF(E79&gt;=0.16,((J79+3*J80+2*J81+3*J82+J83)/10)))))</f>
        <v>0.108</v>
      </c>
      <c r="L79" s="218">
        <f>ROUND(+(D74+D79)/2*(C79-C74),3)</f>
        <v>5.0000000000000001E-3</v>
      </c>
      <c r="M79" s="218">
        <f t="shared" ref="M79" si="82">ROUND(+K79*L79,4)</f>
        <v>5.0000000000000001E-4</v>
      </c>
      <c r="N79" s="221">
        <f t="shared" ref="N79" si="83">ROUND(+M79/$M$108*100,2)</f>
        <v>1.3</v>
      </c>
      <c r="O79" s="224"/>
      <c r="P79" s="227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s="54" customFormat="1" ht="14.1" customHeight="1" x14ac:dyDescent="0.25">
      <c r="A80" s="46"/>
      <c r="B80" s="231"/>
      <c r="C80" s="234"/>
      <c r="D80" s="219"/>
      <c r="E80" s="219"/>
      <c r="F80" s="60" t="s">
        <v>80</v>
      </c>
      <c r="G80" s="61" t="str">
        <f t="shared" ref="G80" si="84">IF(E79&lt;0.125,"NA",IF(0.125&lt;=E79,(0.2*E79)))</f>
        <v>NA</v>
      </c>
      <c r="H80" s="62"/>
      <c r="I80" s="63"/>
      <c r="J80" s="64"/>
      <c r="K80" s="219"/>
      <c r="L80" s="219"/>
      <c r="M80" s="219"/>
      <c r="N80" s="222"/>
      <c r="O80" s="225"/>
      <c r="P80" s="228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s="54" customFormat="1" ht="14.1" customHeight="1" x14ac:dyDescent="0.25">
      <c r="A81" s="46"/>
      <c r="B81" s="231"/>
      <c r="C81" s="234"/>
      <c r="D81" s="219"/>
      <c r="E81" s="219"/>
      <c r="F81" s="60" t="s">
        <v>81</v>
      </c>
      <c r="G81" s="61">
        <f t="shared" ref="G81" si="85">+E79*0.4</f>
        <v>2.2000000000000002E-2</v>
      </c>
      <c r="H81" s="62"/>
      <c r="I81" s="63"/>
      <c r="J81" s="64">
        <v>0.108</v>
      </c>
      <c r="K81" s="219"/>
      <c r="L81" s="219"/>
      <c r="M81" s="219"/>
      <c r="N81" s="222"/>
      <c r="O81" s="225"/>
      <c r="P81" s="228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s="54" customFormat="1" ht="14.1" customHeight="1" x14ac:dyDescent="0.25">
      <c r="A82" s="46"/>
      <c r="B82" s="231"/>
      <c r="C82" s="234"/>
      <c r="D82" s="219"/>
      <c r="E82" s="219"/>
      <c r="F82" s="60" t="s">
        <v>82</v>
      </c>
      <c r="G82" s="61" t="str">
        <f t="shared" ref="G82" si="86">IF(E79&lt;0.125,"NA",IF(0.125&lt;=E79,(0.8*E79)))</f>
        <v>NA</v>
      </c>
      <c r="H82" s="62"/>
      <c r="I82" s="63"/>
      <c r="J82" s="64"/>
      <c r="K82" s="219"/>
      <c r="L82" s="219"/>
      <c r="M82" s="219"/>
      <c r="N82" s="222"/>
      <c r="O82" s="225"/>
      <c r="P82" s="228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s="54" customFormat="1" ht="14.1" customHeight="1" thickBot="1" x14ac:dyDescent="0.3">
      <c r="A83" s="46"/>
      <c r="B83" s="232"/>
      <c r="C83" s="235"/>
      <c r="D83" s="220"/>
      <c r="E83" s="220"/>
      <c r="F83" s="65" t="s">
        <v>83</v>
      </c>
      <c r="G83" s="66">
        <f t="shared" ref="G83" si="87">+E79</f>
        <v>5.5E-2</v>
      </c>
      <c r="H83" s="67"/>
      <c r="I83" s="68"/>
      <c r="J83" s="69">
        <v>0.1</v>
      </c>
      <c r="K83" s="220"/>
      <c r="L83" s="220"/>
      <c r="M83" s="220"/>
      <c r="N83" s="223"/>
      <c r="O83" s="226"/>
      <c r="P83" s="229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s="54" customFormat="1" ht="14.1" customHeight="1" x14ac:dyDescent="0.25">
      <c r="A84" s="46"/>
      <c r="B84" s="230">
        <f t="shared" ref="B84" si="88">+B79+1</f>
        <v>14</v>
      </c>
      <c r="C84" s="233">
        <f>+C79+0.17</f>
        <v>7.9699999999999953</v>
      </c>
      <c r="D84" s="218">
        <v>0.03</v>
      </c>
      <c r="E84" s="218">
        <v>3.5000000000000003E-2</v>
      </c>
      <c r="F84" s="55" t="s">
        <v>79</v>
      </c>
      <c r="G84" s="56">
        <v>0</v>
      </c>
      <c r="H84" s="57"/>
      <c r="I84" s="58"/>
      <c r="J84" s="59">
        <v>0.03</v>
      </c>
      <c r="K84" s="218">
        <f t="shared" ref="K84" si="89">+IF(E84&lt;=0.12,(J86),(IF(E84&lt;0.16,((J85+2*J86+J87)/4),IF(E84&gt;=0.16,((J84+3*J85+2*J86+3*J87+J88)/10)))))</f>
        <v>7.0999999999999994E-2</v>
      </c>
      <c r="L84" s="218">
        <f>ROUND(+(D79+D84)/2*(C84-C79),3)</f>
        <v>6.0000000000000001E-3</v>
      </c>
      <c r="M84" s="218">
        <f t="shared" ref="M84" si="90">ROUND(+K84*L84,4)</f>
        <v>4.0000000000000002E-4</v>
      </c>
      <c r="N84" s="221">
        <f t="shared" ref="N84" si="91">ROUND(+M84/$M$108*100,2)</f>
        <v>1.04</v>
      </c>
      <c r="O84" s="224"/>
      <c r="P84" s="227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s="54" customFormat="1" ht="14.1" customHeight="1" x14ac:dyDescent="0.25">
      <c r="A85" s="46"/>
      <c r="B85" s="231"/>
      <c r="C85" s="234"/>
      <c r="D85" s="219"/>
      <c r="E85" s="219"/>
      <c r="F85" s="60" t="s">
        <v>80</v>
      </c>
      <c r="G85" s="61" t="str">
        <f t="shared" ref="G85" si="92">IF(E84&lt;0.125,"NA",IF(0.125&lt;=E84,(0.2*E84)))</f>
        <v>NA</v>
      </c>
      <c r="H85" s="62"/>
      <c r="I85" s="63"/>
      <c r="J85" s="64"/>
      <c r="K85" s="219"/>
      <c r="L85" s="219"/>
      <c r="M85" s="219"/>
      <c r="N85" s="222"/>
      <c r="O85" s="225"/>
      <c r="P85" s="228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s="54" customFormat="1" ht="14.1" customHeight="1" x14ac:dyDescent="0.25">
      <c r="A86" s="46"/>
      <c r="B86" s="231"/>
      <c r="C86" s="234"/>
      <c r="D86" s="219"/>
      <c r="E86" s="219"/>
      <c r="F86" s="60" t="s">
        <v>81</v>
      </c>
      <c r="G86" s="61">
        <f t="shared" ref="G86" si="93">+E84*0.4</f>
        <v>1.4000000000000002E-2</v>
      </c>
      <c r="H86" s="62"/>
      <c r="I86" s="63"/>
      <c r="J86" s="64">
        <v>7.0999999999999994E-2</v>
      </c>
      <c r="K86" s="219"/>
      <c r="L86" s="219"/>
      <c r="M86" s="219"/>
      <c r="N86" s="222"/>
      <c r="O86" s="225"/>
      <c r="P86" s="228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s="54" customFormat="1" ht="14.1" customHeight="1" x14ac:dyDescent="0.25">
      <c r="A87" s="46"/>
      <c r="B87" s="231"/>
      <c r="C87" s="234"/>
      <c r="D87" s="219"/>
      <c r="E87" s="219"/>
      <c r="F87" s="60" t="s">
        <v>82</v>
      </c>
      <c r="G87" s="61" t="str">
        <f t="shared" ref="G87" si="94">IF(E84&lt;0.125,"NA",IF(0.125&lt;=E84,(0.8*E84)))</f>
        <v>NA</v>
      </c>
      <c r="H87" s="62"/>
      <c r="I87" s="63"/>
      <c r="J87" s="64"/>
      <c r="K87" s="219"/>
      <c r="L87" s="219"/>
      <c r="M87" s="219"/>
      <c r="N87" s="222"/>
      <c r="O87" s="225"/>
      <c r="P87" s="228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s="54" customFormat="1" ht="14.1" customHeight="1" thickBot="1" x14ac:dyDescent="0.3">
      <c r="A88" s="46"/>
      <c r="B88" s="232"/>
      <c r="C88" s="235"/>
      <c r="D88" s="220"/>
      <c r="E88" s="220"/>
      <c r="F88" s="65" t="s">
        <v>83</v>
      </c>
      <c r="G88" s="66">
        <f t="shared" ref="G88" si="95">+E84</f>
        <v>3.5000000000000003E-2</v>
      </c>
      <c r="H88" s="67"/>
      <c r="I88" s="68"/>
      <c r="J88" s="69">
        <v>7.0999999999999994E-2</v>
      </c>
      <c r="K88" s="220"/>
      <c r="L88" s="220"/>
      <c r="M88" s="220"/>
      <c r="N88" s="223"/>
      <c r="O88" s="226"/>
      <c r="P88" s="229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s="3" customFormat="1" ht="13.9" customHeight="1" x14ac:dyDescent="0.2">
      <c r="B89" s="236" t="s">
        <v>28</v>
      </c>
      <c r="C89" s="239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1"/>
    </row>
    <row r="90" spans="1:26" s="3" customFormat="1" ht="14.1" customHeight="1" x14ac:dyDescent="0.2">
      <c r="B90" s="237"/>
      <c r="C90" s="242"/>
      <c r="D90" s="243"/>
      <c r="E90" s="243"/>
      <c r="F90" s="243"/>
      <c r="G90" s="243"/>
      <c r="H90" s="243"/>
      <c r="I90" s="243"/>
      <c r="J90" s="243"/>
      <c r="K90" s="243"/>
      <c r="L90" s="243"/>
      <c r="M90" s="243"/>
      <c r="N90" s="243"/>
      <c r="O90" s="243"/>
      <c r="P90" s="244"/>
    </row>
    <row r="91" spans="1:26" s="3" customFormat="1" ht="14.1" customHeight="1" x14ac:dyDescent="0.2">
      <c r="B91" s="237"/>
      <c r="C91" s="242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4"/>
    </row>
    <row r="92" spans="1:26" s="3" customFormat="1" ht="14.1" customHeight="1" x14ac:dyDescent="0.2">
      <c r="B92" s="237"/>
      <c r="C92" s="242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4"/>
    </row>
    <row r="93" spans="1:26" s="3" customFormat="1" ht="14.1" customHeight="1" x14ac:dyDescent="0.2">
      <c r="B93" s="237"/>
      <c r="C93" s="242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4"/>
    </row>
    <row r="94" spans="1:26" s="3" customFormat="1" ht="14.1" customHeight="1" thickBot="1" x14ac:dyDescent="0.25">
      <c r="B94" s="238"/>
      <c r="C94" s="245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7"/>
    </row>
    <row r="95" spans="1:26" s="3" customFormat="1" ht="28.5" customHeight="1" thickBot="1" x14ac:dyDescent="0.25">
      <c r="A95" s="70"/>
      <c r="B95" s="71" t="s">
        <v>84</v>
      </c>
      <c r="C95" s="343" t="s">
        <v>85</v>
      </c>
      <c r="D95" s="344"/>
      <c r="E95" s="344"/>
      <c r="F95" s="344"/>
      <c r="G95" s="344"/>
      <c r="H95" s="345"/>
      <c r="I95" s="346"/>
      <c r="J95" s="71" t="s">
        <v>86</v>
      </c>
      <c r="K95" s="343" t="s">
        <v>87</v>
      </c>
      <c r="L95" s="344"/>
      <c r="M95" s="344"/>
      <c r="N95" s="344"/>
      <c r="O95" s="344"/>
      <c r="P95" s="345"/>
    </row>
    <row r="96" spans="1:26" s="3" customFormat="1" ht="28.5" customHeight="1" thickBot="1" x14ac:dyDescent="0.25">
      <c r="B96" s="72" t="s">
        <v>88</v>
      </c>
      <c r="C96" s="343" t="s">
        <v>89</v>
      </c>
      <c r="D96" s="344"/>
      <c r="E96" s="344"/>
      <c r="F96" s="344"/>
      <c r="G96" s="344"/>
      <c r="H96" s="345"/>
      <c r="I96" s="347"/>
      <c r="J96" s="72" t="s">
        <v>90</v>
      </c>
      <c r="K96" s="343" t="s">
        <v>91</v>
      </c>
      <c r="L96" s="344"/>
      <c r="M96" s="344"/>
      <c r="N96" s="344"/>
      <c r="O96" s="344"/>
      <c r="P96" s="345"/>
    </row>
    <row r="97" spans="1:26" s="19" customFormat="1" ht="13.5" customHeight="1" x14ac:dyDescent="0.25">
      <c r="A97" s="73"/>
      <c r="B97" s="255"/>
      <c r="C97" s="258"/>
      <c r="D97" s="261"/>
      <c r="E97" s="261"/>
      <c r="F97" s="74" t="s">
        <v>79</v>
      </c>
      <c r="G97" s="74">
        <v>0.01</v>
      </c>
      <c r="H97" s="75"/>
      <c r="I97" s="76"/>
      <c r="J97" s="77"/>
      <c r="K97" s="263"/>
      <c r="L97" s="276"/>
      <c r="M97" s="277"/>
      <c r="N97" s="276"/>
      <c r="O97" s="276"/>
      <c r="P97" s="2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s="19" customFormat="1" ht="13.5" customHeight="1" x14ac:dyDescent="0.25">
      <c r="A98" s="73"/>
      <c r="B98" s="256"/>
      <c r="C98" s="259"/>
      <c r="D98" s="259"/>
      <c r="E98" s="259"/>
      <c r="F98" s="79" t="s">
        <v>92</v>
      </c>
      <c r="G98" s="80">
        <f>+E97*0.1</f>
        <v>0</v>
      </c>
      <c r="H98" s="81"/>
      <c r="I98" s="82"/>
      <c r="J98" s="83"/>
      <c r="K98" s="259"/>
      <c r="L98" s="259"/>
      <c r="M98" s="259"/>
      <c r="N98" s="259"/>
      <c r="O98" s="259"/>
      <c r="P98" s="279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s="19" customFormat="1" ht="13.5" customHeight="1" x14ac:dyDescent="0.25">
      <c r="A99" s="73"/>
      <c r="B99" s="256"/>
      <c r="C99" s="259"/>
      <c r="D99" s="259"/>
      <c r="E99" s="259"/>
      <c r="F99" s="79" t="s">
        <v>93</v>
      </c>
      <c r="G99" s="80">
        <f>+E97*0.2</f>
        <v>0</v>
      </c>
      <c r="H99" s="81"/>
      <c r="I99" s="82"/>
      <c r="J99" s="83"/>
      <c r="K99" s="259"/>
      <c r="L99" s="259"/>
      <c r="M99" s="259"/>
      <c r="N99" s="259"/>
      <c r="O99" s="259"/>
      <c r="P99" s="279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s="19" customFormat="1" ht="13.5" customHeight="1" x14ac:dyDescent="0.25">
      <c r="A100" s="73"/>
      <c r="B100" s="256"/>
      <c r="C100" s="259"/>
      <c r="D100" s="259"/>
      <c r="E100" s="259"/>
      <c r="F100" s="79" t="s">
        <v>94</v>
      </c>
      <c r="G100" s="80">
        <f>+E97*0.3</f>
        <v>0</v>
      </c>
      <c r="H100" s="81"/>
      <c r="I100" s="82"/>
      <c r="J100" s="83"/>
      <c r="K100" s="259"/>
      <c r="L100" s="259"/>
      <c r="M100" s="259"/>
      <c r="N100" s="259"/>
      <c r="O100" s="259"/>
      <c r="P100" s="279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s="19" customFormat="1" ht="13.5" customHeight="1" x14ac:dyDescent="0.25">
      <c r="A101" s="73"/>
      <c r="B101" s="256"/>
      <c r="C101" s="260"/>
      <c r="D101" s="260"/>
      <c r="E101" s="259"/>
      <c r="F101" s="79" t="s">
        <v>95</v>
      </c>
      <c r="G101" s="80">
        <f>+E97*0.4</f>
        <v>0</v>
      </c>
      <c r="H101" s="81"/>
      <c r="I101" s="82"/>
      <c r="J101" s="83"/>
      <c r="K101" s="259"/>
      <c r="L101" s="259"/>
      <c r="M101" s="259"/>
      <c r="N101" s="259"/>
      <c r="O101" s="259"/>
      <c r="P101" s="279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s="19" customFormat="1" ht="13.5" customHeight="1" x14ac:dyDescent="0.25">
      <c r="A102" s="73"/>
      <c r="B102" s="256"/>
      <c r="C102" s="281"/>
      <c r="D102" s="282"/>
      <c r="E102" s="259"/>
      <c r="F102" s="79" t="s">
        <v>29</v>
      </c>
      <c r="G102" s="80">
        <f>+E97*0.5</f>
        <v>0</v>
      </c>
      <c r="H102" s="81"/>
      <c r="I102" s="82"/>
      <c r="J102" s="83"/>
      <c r="K102" s="259"/>
      <c r="L102" s="259"/>
      <c r="M102" s="259"/>
      <c r="N102" s="259"/>
      <c r="O102" s="259"/>
      <c r="P102" s="279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s="19" customFormat="1" ht="13.5" customHeight="1" x14ac:dyDescent="0.25">
      <c r="A103" s="73"/>
      <c r="B103" s="256"/>
      <c r="C103" s="259"/>
      <c r="D103" s="259"/>
      <c r="E103" s="259"/>
      <c r="F103" s="79" t="s">
        <v>96</v>
      </c>
      <c r="G103" s="80">
        <f>+E97*0.6</f>
        <v>0</v>
      </c>
      <c r="H103" s="81"/>
      <c r="I103" s="82"/>
      <c r="J103" s="83"/>
      <c r="K103" s="259"/>
      <c r="L103" s="259"/>
      <c r="M103" s="259"/>
      <c r="N103" s="259"/>
      <c r="O103" s="259"/>
      <c r="P103" s="279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s="19" customFormat="1" ht="13.5" customHeight="1" x14ac:dyDescent="0.25">
      <c r="A104" s="73"/>
      <c r="B104" s="256"/>
      <c r="C104" s="259"/>
      <c r="D104" s="259"/>
      <c r="E104" s="259"/>
      <c r="F104" s="79" t="s">
        <v>97</v>
      </c>
      <c r="G104" s="80">
        <f>+E97*0.7</f>
        <v>0</v>
      </c>
      <c r="H104" s="81"/>
      <c r="I104" s="82"/>
      <c r="J104" s="83"/>
      <c r="K104" s="259"/>
      <c r="L104" s="259"/>
      <c r="M104" s="259"/>
      <c r="N104" s="259"/>
      <c r="O104" s="259"/>
      <c r="P104" s="279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s="19" customFormat="1" ht="13.5" customHeight="1" x14ac:dyDescent="0.25">
      <c r="A105" s="73"/>
      <c r="B105" s="256"/>
      <c r="C105" s="259"/>
      <c r="D105" s="259"/>
      <c r="E105" s="259"/>
      <c r="F105" s="79" t="s">
        <v>98</v>
      </c>
      <c r="G105" s="80">
        <f>+E97*0.8</f>
        <v>0</v>
      </c>
      <c r="H105" s="81"/>
      <c r="I105" s="82"/>
      <c r="J105" s="83"/>
      <c r="K105" s="259"/>
      <c r="L105" s="259"/>
      <c r="M105" s="259"/>
      <c r="N105" s="259"/>
      <c r="O105" s="259"/>
      <c r="P105" s="279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s="19" customFormat="1" ht="13.5" customHeight="1" x14ac:dyDescent="0.25">
      <c r="A106" s="73"/>
      <c r="B106" s="256"/>
      <c r="C106" s="259"/>
      <c r="D106" s="259"/>
      <c r="E106" s="259"/>
      <c r="F106" s="79" t="s">
        <v>99</v>
      </c>
      <c r="G106" s="80">
        <f>+E97*0.9</f>
        <v>0</v>
      </c>
      <c r="H106" s="81"/>
      <c r="I106" s="82"/>
      <c r="J106" s="83"/>
      <c r="K106" s="259"/>
      <c r="L106" s="259"/>
      <c r="M106" s="259"/>
      <c r="N106" s="259"/>
      <c r="O106" s="259"/>
      <c r="P106" s="279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s="19" customFormat="1" ht="15.75" thickBot="1" x14ac:dyDescent="0.3">
      <c r="A107" s="73"/>
      <c r="B107" s="257"/>
      <c r="C107" s="262"/>
      <c r="D107" s="262"/>
      <c r="E107" s="262"/>
      <c r="F107" s="84" t="s">
        <v>30</v>
      </c>
      <c r="G107" s="84">
        <f>+E97</f>
        <v>0</v>
      </c>
      <c r="H107" s="85"/>
      <c r="I107" s="86"/>
      <c r="J107" s="87"/>
      <c r="K107" s="262"/>
      <c r="L107" s="262"/>
      <c r="M107" s="262"/>
      <c r="N107" s="262"/>
      <c r="O107" s="262"/>
      <c r="P107" s="280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s="3" customFormat="1" ht="12.75" x14ac:dyDescent="0.2">
      <c r="A108" s="11"/>
      <c r="B108" s="264" t="s">
        <v>31</v>
      </c>
      <c r="C108" s="264"/>
      <c r="D108" s="264"/>
      <c r="E108" s="264"/>
      <c r="F108" s="264"/>
      <c r="G108" s="264"/>
      <c r="H108" s="264"/>
      <c r="I108" s="264"/>
      <c r="J108" s="264"/>
      <c r="K108" s="16">
        <f>ROUND(+M108/L108,3)</f>
        <v>0.32800000000000001</v>
      </c>
      <c r="L108" s="15">
        <f>SUM(L19:L107)</f>
        <v>0.11699999999999999</v>
      </c>
      <c r="M108" s="14">
        <f>SUM(M19:M107)</f>
        <v>3.8399999999999997E-2</v>
      </c>
      <c r="N108" s="12">
        <f>ROUND(SUM(N19:N107),0)</f>
        <v>100</v>
      </c>
      <c r="O108" s="266" t="s">
        <v>32</v>
      </c>
      <c r="P108" s="268"/>
    </row>
    <row r="109" spans="1:26" s="3" customFormat="1" ht="15" customHeight="1" thickBot="1" x14ac:dyDescent="0.25">
      <c r="A109" s="11"/>
      <c r="B109" s="265"/>
      <c r="C109" s="265"/>
      <c r="D109" s="265"/>
      <c r="E109" s="265"/>
      <c r="F109" s="265"/>
      <c r="G109" s="265"/>
      <c r="H109" s="265"/>
      <c r="I109" s="265"/>
      <c r="J109" s="265"/>
      <c r="K109" s="13" t="s">
        <v>33</v>
      </c>
      <c r="L109" s="13" t="s">
        <v>49</v>
      </c>
      <c r="M109" s="13" t="s">
        <v>106</v>
      </c>
      <c r="N109" s="13" t="s">
        <v>34</v>
      </c>
      <c r="O109" s="267"/>
      <c r="P109" s="269"/>
    </row>
    <row r="110" spans="1:26" ht="15" customHeight="1" thickBot="1" x14ac:dyDescent="0.3">
      <c r="A110" s="5"/>
      <c r="B110" s="270" t="s">
        <v>100</v>
      </c>
      <c r="C110" s="271"/>
      <c r="D110" s="271"/>
      <c r="E110" s="271"/>
      <c r="F110" s="272"/>
      <c r="G110" s="270" t="s">
        <v>101</v>
      </c>
      <c r="H110" s="271"/>
      <c r="I110" s="271"/>
      <c r="J110" s="271"/>
      <c r="K110" s="272"/>
      <c r="L110" s="273" t="s">
        <v>51</v>
      </c>
      <c r="M110" s="274"/>
      <c r="N110" s="274"/>
      <c r="O110" s="274"/>
      <c r="P110" s="275"/>
    </row>
    <row r="111" spans="1:26" ht="15" customHeight="1" x14ac:dyDescent="0.25">
      <c r="A111" s="5"/>
      <c r="B111" s="283"/>
      <c r="C111" s="284"/>
      <c r="D111" s="284"/>
      <c r="E111" s="284"/>
      <c r="F111" s="285"/>
      <c r="G111" s="283"/>
      <c r="H111" s="284"/>
      <c r="I111" s="284"/>
      <c r="J111" s="284"/>
      <c r="K111" s="285"/>
      <c r="L111" s="292" t="s">
        <v>102</v>
      </c>
      <c r="M111" s="293"/>
      <c r="N111" s="293"/>
      <c r="O111" s="328">
        <f>+AVERAGE(E18:E88)</f>
        <v>8.3571428571428547E-2</v>
      </c>
      <c r="P111" s="329"/>
    </row>
    <row r="112" spans="1:26" ht="15" customHeight="1" thickBot="1" x14ac:dyDescent="0.3">
      <c r="A112" s="5"/>
      <c r="B112" s="286"/>
      <c r="C112" s="287"/>
      <c r="D112" s="287"/>
      <c r="E112" s="287"/>
      <c r="F112" s="288"/>
      <c r="G112" s="286"/>
      <c r="H112" s="287"/>
      <c r="I112" s="287"/>
      <c r="J112" s="287"/>
      <c r="K112" s="288"/>
      <c r="L112" s="296" t="s">
        <v>103</v>
      </c>
      <c r="M112" s="297"/>
      <c r="N112" s="297"/>
      <c r="O112" s="330">
        <f>MAX(E18:E88)</f>
        <v>0.111</v>
      </c>
      <c r="P112" s="331"/>
    </row>
    <row r="113" spans="1:16" ht="18.600000000000001" customHeight="1" x14ac:dyDescent="0.25">
      <c r="A113" s="6"/>
      <c r="B113" s="286"/>
      <c r="C113" s="287"/>
      <c r="D113" s="287"/>
      <c r="E113" s="287"/>
      <c r="F113" s="288"/>
      <c r="G113" s="286"/>
      <c r="H113" s="287"/>
      <c r="I113" s="287"/>
      <c r="J113" s="287"/>
      <c r="K113" s="288"/>
      <c r="L113" s="332"/>
      <c r="M113" s="333"/>
      <c r="N113" s="333"/>
      <c r="O113" s="333"/>
      <c r="P113" s="334"/>
    </row>
    <row r="114" spans="1:16" ht="68.45" customHeight="1" x14ac:dyDescent="0.25">
      <c r="A114" s="10"/>
      <c r="B114" s="286"/>
      <c r="C114" s="287"/>
      <c r="D114" s="287"/>
      <c r="E114" s="287"/>
      <c r="F114" s="288"/>
      <c r="G114" s="286"/>
      <c r="H114" s="287"/>
      <c r="I114" s="287"/>
      <c r="J114" s="287"/>
      <c r="K114" s="288"/>
      <c r="L114" s="332"/>
      <c r="M114" s="333"/>
      <c r="N114" s="333"/>
      <c r="O114" s="333"/>
      <c r="P114" s="334"/>
    </row>
    <row r="115" spans="1:16" ht="15" customHeight="1" thickBot="1" x14ac:dyDescent="0.3">
      <c r="A115" s="5"/>
      <c r="B115" s="286"/>
      <c r="C115" s="287"/>
      <c r="D115" s="287"/>
      <c r="E115" s="287"/>
      <c r="F115" s="288"/>
      <c r="G115" s="286"/>
      <c r="H115" s="287"/>
      <c r="I115" s="287"/>
      <c r="J115" s="287"/>
      <c r="K115" s="288"/>
      <c r="L115" s="335"/>
      <c r="M115" s="336"/>
      <c r="N115" s="336"/>
      <c r="O115" s="336"/>
      <c r="P115" s="337"/>
    </row>
    <row r="116" spans="1:16" ht="21.6" customHeight="1" thickBot="1" x14ac:dyDescent="0.3">
      <c r="A116" s="5"/>
      <c r="B116" s="286"/>
      <c r="C116" s="287"/>
      <c r="D116" s="287"/>
      <c r="E116" s="287"/>
      <c r="F116" s="288"/>
      <c r="G116" s="286"/>
      <c r="H116" s="287"/>
      <c r="I116" s="287"/>
      <c r="J116" s="287"/>
      <c r="K116" s="288"/>
      <c r="L116" s="309" t="s">
        <v>35</v>
      </c>
      <c r="M116" s="310"/>
      <c r="N116" s="310"/>
      <c r="O116" s="310"/>
      <c r="P116" s="102">
        <v>8.5</v>
      </c>
    </row>
    <row r="117" spans="1:16" ht="34.15" customHeight="1" thickBot="1" x14ac:dyDescent="0.3">
      <c r="A117" s="5"/>
      <c r="B117" s="289"/>
      <c r="C117" s="290"/>
      <c r="D117" s="290"/>
      <c r="E117" s="290"/>
      <c r="F117" s="291"/>
      <c r="G117" s="289"/>
      <c r="H117" s="290"/>
      <c r="I117" s="290"/>
      <c r="J117" s="290"/>
      <c r="K117" s="291"/>
      <c r="L117" s="311" t="s">
        <v>50</v>
      </c>
      <c r="M117" s="312"/>
      <c r="N117" s="312"/>
      <c r="O117" s="312"/>
      <c r="P117" s="103">
        <v>0.15540000000000001</v>
      </c>
    </row>
    <row r="118" spans="1:16" ht="23.45" customHeight="1" thickBot="1" x14ac:dyDescent="0.3">
      <c r="A118" s="7"/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5"/>
      <c r="P118" s="355"/>
    </row>
    <row r="119" spans="1:16" ht="15.75" thickBot="1" x14ac:dyDescent="0.3">
      <c r="A119" s="319" t="s">
        <v>36</v>
      </c>
      <c r="B119" s="356"/>
      <c r="C119" s="356"/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7"/>
    </row>
    <row r="120" spans="1:16" ht="159" customHeight="1" thickBot="1" x14ac:dyDescent="0.3">
      <c r="A120" s="4"/>
      <c r="B120" s="358"/>
      <c r="C120" s="359"/>
      <c r="D120" s="359"/>
      <c r="E120" s="359"/>
      <c r="F120" s="360"/>
      <c r="G120" s="358"/>
      <c r="H120" s="359"/>
      <c r="I120" s="359"/>
      <c r="J120" s="359"/>
      <c r="K120" s="360"/>
      <c r="L120" s="358"/>
      <c r="M120" s="359"/>
      <c r="N120" s="359"/>
      <c r="O120" s="359"/>
      <c r="P120" s="360"/>
    </row>
    <row r="121" spans="1:16" ht="21.75" customHeight="1" thickBot="1" x14ac:dyDescent="0.3">
      <c r="A121" s="4"/>
      <c r="B121" s="340" t="s">
        <v>117</v>
      </c>
      <c r="C121" s="341"/>
      <c r="D121" s="341"/>
      <c r="E121" s="341"/>
      <c r="F121" s="342"/>
      <c r="G121" s="340" t="s">
        <v>124</v>
      </c>
      <c r="H121" s="341"/>
      <c r="I121" s="341"/>
      <c r="J121" s="341"/>
      <c r="K121" s="342"/>
      <c r="L121" s="340" t="s">
        <v>117</v>
      </c>
      <c r="M121" s="341"/>
      <c r="N121" s="341"/>
      <c r="O121" s="341"/>
      <c r="P121" s="342"/>
    </row>
    <row r="122" spans="1:16" s="9" customFormat="1" ht="16.899999999999999" customHeight="1" thickBot="1" x14ac:dyDescent="0.3">
      <c r="A122" s="8"/>
      <c r="B122" s="348"/>
      <c r="C122" s="348"/>
      <c r="D122" s="348"/>
      <c r="E122" s="348"/>
      <c r="F122" s="348"/>
      <c r="G122" s="348"/>
      <c r="H122" s="348"/>
      <c r="I122" s="348"/>
      <c r="J122" s="348"/>
      <c r="K122" s="348"/>
      <c r="L122" s="348"/>
      <c r="M122" s="348"/>
      <c r="N122" s="348"/>
      <c r="O122" s="348"/>
      <c r="P122" s="349"/>
    </row>
    <row r="123" spans="1:16" s="3" customFormat="1" ht="15.75" customHeight="1" thickBot="1" x14ac:dyDescent="0.25">
      <c r="A123" s="350" t="s">
        <v>37</v>
      </c>
      <c r="B123" s="351"/>
      <c r="C123" s="352"/>
      <c r="D123" s="353"/>
      <c r="E123" s="351"/>
      <c r="F123" s="351"/>
      <c r="G123" s="351"/>
      <c r="H123" s="351"/>
      <c r="I123" s="352"/>
      <c r="J123" s="353" t="s">
        <v>38</v>
      </c>
      <c r="K123" s="352"/>
      <c r="L123" s="353"/>
      <c r="M123" s="351"/>
      <c r="N123" s="351"/>
      <c r="O123" s="351"/>
      <c r="P123" s="354"/>
    </row>
  </sheetData>
  <mergeCells count="245">
    <mergeCell ref="B122:P122"/>
    <mergeCell ref="A123:C123"/>
    <mergeCell ref="D123:I123"/>
    <mergeCell ref="J123:K123"/>
    <mergeCell ref="L123:P123"/>
    <mergeCell ref="B118:P118"/>
    <mergeCell ref="A119:P119"/>
    <mergeCell ref="B120:F120"/>
    <mergeCell ref="G120:K120"/>
    <mergeCell ref="L120:P120"/>
    <mergeCell ref="B121:F121"/>
    <mergeCell ref="G121:K121"/>
    <mergeCell ref="L121:P121"/>
    <mergeCell ref="B111:F117"/>
    <mergeCell ref="G111:K117"/>
    <mergeCell ref="L111:N111"/>
    <mergeCell ref="O111:P111"/>
    <mergeCell ref="L112:N112"/>
    <mergeCell ref="O112:P112"/>
    <mergeCell ref="L113:P115"/>
    <mergeCell ref="L116:O116"/>
    <mergeCell ref="L117:O117"/>
    <mergeCell ref="B108:J109"/>
    <mergeCell ref="O108:O109"/>
    <mergeCell ref="P108:P109"/>
    <mergeCell ref="B110:F110"/>
    <mergeCell ref="G110:K110"/>
    <mergeCell ref="L110:P110"/>
    <mergeCell ref="L97:L107"/>
    <mergeCell ref="M97:M107"/>
    <mergeCell ref="N97:N107"/>
    <mergeCell ref="O97:O107"/>
    <mergeCell ref="P97:P107"/>
    <mergeCell ref="C102:C107"/>
    <mergeCell ref="D102:D107"/>
    <mergeCell ref="C95:H95"/>
    <mergeCell ref="I95:I96"/>
    <mergeCell ref="K95:P95"/>
    <mergeCell ref="C96:H96"/>
    <mergeCell ref="K96:P96"/>
    <mergeCell ref="B97:B107"/>
    <mergeCell ref="C97:C101"/>
    <mergeCell ref="D97:D101"/>
    <mergeCell ref="E97:E107"/>
    <mergeCell ref="K97:K107"/>
    <mergeCell ref="P84:P88"/>
    <mergeCell ref="B89:B94"/>
    <mergeCell ref="C89:P94"/>
    <mergeCell ref="M79:M83"/>
    <mergeCell ref="N79:N83"/>
    <mergeCell ref="O79:O83"/>
    <mergeCell ref="P79:P83"/>
    <mergeCell ref="B84:B88"/>
    <mergeCell ref="C84:C88"/>
    <mergeCell ref="D84:D88"/>
    <mergeCell ref="E84:E88"/>
    <mergeCell ref="K84:K88"/>
    <mergeCell ref="L84:L88"/>
    <mergeCell ref="B79:B83"/>
    <mergeCell ref="C79:C83"/>
    <mergeCell ref="D79:D83"/>
    <mergeCell ref="E79:E83"/>
    <mergeCell ref="K79:K83"/>
    <mergeCell ref="L79:L83"/>
    <mergeCell ref="M84:M88"/>
    <mergeCell ref="N84:N88"/>
    <mergeCell ref="O84:O88"/>
    <mergeCell ref="P69:P73"/>
    <mergeCell ref="B74:B78"/>
    <mergeCell ref="C74:C78"/>
    <mergeCell ref="D74:D78"/>
    <mergeCell ref="E74:E78"/>
    <mergeCell ref="K74:K78"/>
    <mergeCell ref="L74:L78"/>
    <mergeCell ref="M74:M78"/>
    <mergeCell ref="N74:N78"/>
    <mergeCell ref="O74:O78"/>
    <mergeCell ref="P74:P7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</mergeCells>
  <printOptions horizontalCentered="1"/>
  <pageMargins left="0.35433070866141736" right="0.23622047244094491" top="0.74803149606299213" bottom="0.74803149606299213" header="0.19685039370078741" footer="0.31496062992125984"/>
  <pageSetup scale="61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Planta y sección típica</vt:lpstr>
      <vt:lpstr>Aforo 1</vt:lpstr>
      <vt:lpstr>Aforo 2</vt:lpstr>
      <vt:lpstr>Aforo 3</vt:lpstr>
      <vt:lpstr>Aforo 4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2019-05-17T14:51:49Z</dcterms:modified>
</cp:coreProperties>
</file>