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os\INFORME AFOROS\INFORMACIÓN PAGINA WEB1\"/>
    </mc:Choice>
  </mc:AlternateContent>
  <bookViews>
    <workbookView xWindow="0" yWindow="0" windowWidth="11970" windowHeight="4710" activeTab="4"/>
  </bookViews>
  <sheets>
    <sheet name="Planta y sección típica" sheetId="1" r:id="rId1"/>
    <sheet name="Aforo 1" sheetId="6" r:id="rId2"/>
    <sheet name="Aforo 2" sheetId="7" r:id="rId3"/>
    <sheet name="Aforo 3" sheetId="8" r:id="rId4"/>
    <sheet name="Aforo 4" sheetId="9" r:id="rId5"/>
  </sheets>
  <definedNames>
    <definedName name="_xlnm.Print_Area" localSheetId="1">'Aforo 1'!$B$1:$P$98</definedName>
    <definedName name="_xlnm.Print_Area" localSheetId="2">'Aforo 2'!$B$1:$P$103</definedName>
    <definedName name="_xlnm.Print_Area" localSheetId="3">'Aforo 3'!$B$1:$P$103</definedName>
    <definedName name="_xlnm.Print_Area" localSheetId="4">'Aforo 4'!$B$1:$P$118</definedName>
    <definedName name="_xlnm.Print_Titles" localSheetId="1">'Aforo 1'!$16:$17</definedName>
    <definedName name="_xlnm.Print_Titles" localSheetId="2">'Aforo 2'!$16:$17</definedName>
    <definedName name="_xlnm.Print_Titles" localSheetId="3">'Aforo 3'!$16:$17</definedName>
    <definedName name="_xlnm.Print_Titles" localSheetId="4">'Aforo 4'!$16:$17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7" i="9" l="1"/>
  <c r="O106" i="9"/>
  <c r="G101" i="9"/>
  <c r="G97" i="9"/>
  <c r="D97" i="9"/>
  <c r="G95" i="9"/>
  <c r="K92" i="9"/>
  <c r="E92" i="9"/>
  <c r="G100" i="9" s="1"/>
  <c r="D92" i="9"/>
  <c r="B92" i="9"/>
  <c r="G83" i="9"/>
  <c r="G82" i="9"/>
  <c r="G81" i="9"/>
  <c r="G80" i="9"/>
  <c r="K79" i="9"/>
  <c r="G78" i="9"/>
  <c r="G77" i="9"/>
  <c r="G76" i="9"/>
  <c r="G75" i="9"/>
  <c r="K74" i="9"/>
  <c r="G73" i="9"/>
  <c r="G72" i="9"/>
  <c r="G71" i="9"/>
  <c r="G70" i="9"/>
  <c r="K69" i="9"/>
  <c r="G68" i="9"/>
  <c r="G67" i="9"/>
  <c r="G66" i="9"/>
  <c r="G65" i="9"/>
  <c r="K64" i="9"/>
  <c r="G63" i="9"/>
  <c r="G62" i="9"/>
  <c r="G61" i="9"/>
  <c r="G60" i="9"/>
  <c r="K59" i="9"/>
  <c r="G58" i="9"/>
  <c r="G57" i="9"/>
  <c r="G56" i="9"/>
  <c r="G55" i="9"/>
  <c r="K54" i="9"/>
  <c r="G53" i="9"/>
  <c r="G52" i="9"/>
  <c r="G51" i="9"/>
  <c r="G50" i="9"/>
  <c r="K49" i="9"/>
  <c r="G48" i="9"/>
  <c r="G47" i="9"/>
  <c r="G46" i="9"/>
  <c r="G45" i="9"/>
  <c r="K44" i="9"/>
  <c r="G43" i="9"/>
  <c r="G42" i="9"/>
  <c r="G41" i="9"/>
  <c r="G40" i="9"/>
  <c r="K39" i="9"/>
  <c r="G38" i="9"/>
  <c r="G37" i="9"/>
  <c r="G36" i="9"/>
  <c r="G35" i="9"/>
  <c r="K34" i="9"/>
  <c r="G33" i="9"/>
  <c r="G32" i="9"/>
  <c r="G31" i="9"/>
  <c r="G30" i="9"/>
  <c r="G28" i="9"/>
  <c r="G27" i="9"/>
  <c r="G26" i="9"/>
  <c r="G25" i="9"/>
  <c r="K24" i="9"/>
  <c r="G23" i="9"/>
  <c r="G22" i="9"/>
  <c r="G21" i="9"/>
  <c r="G20" i="9"/>
  <c r="K19" i="9"/>
  <c r="C18" i="9"/>
  <c r="C19" i="9" s="1"/>
  <c r="L19" i="9" l="1"/>
  <c r="C24" i="9"/>
  <c r="G96" i="9"/>
  <c r="G98" i="9"/>
  <c r="G102" i="9"/>
  <c r="G93" i="9"/>
  <c r="G99" i="9"/>
  <c r="G94" i="9"/>
  <c r="M19" i="9" l="1"/>
  <c r="C92" i="9"/>
  <c r="C29" i="9"/>
  <c r="L24" i="9"/>
  <c r="M24" i="9" s="1"/>
  <c r="C97" i="9" l="1"/>
  <c r="L92" i="9" s="1"/>
  <c r="M92" i="9" s="1"/>
  <c r="C34" i="9"/>
  <c r="L34" i="9" l="1"/>
  <c r="C39" i="9"/>
  <c r="L39" i="9" l="1"/>
  <c r="M39" i="9" s="1"/>
  <c r="C44" i="9"/>
  <c r="M34" i="9"/>
  <c r="C49" i="9" l="1"/>
  <c r="L44" i="9"/>
  <c r="C54" i="9" l="1"/>
  <c r="L49" i="9"/>
  <c r="M49" i="9" s="1"/>
  <c r="M44" i="9"/>
  <c r="L54" i="9" l="1"/>
  <c r="C59" i="9"/>
  <c r="M54" i="9" l="1"/>
  <c r="L59" i="9"/>
  <c r="M59" i="9" s="1"/>
  <c r="C64" i="9"/>
  <c r="C69" i="9" l="1"/>
  <c r="L64" i="9"/>
  <c r="M64" i="9" s="1"/>
  <c r="L69" i="9" l="1"/>
  <c r="M69" i="9" s="1"/>
  <c r="C74" i="9"/>
  <c r="L74" i="9" l="1"/>
  <c r="M74" i="9" s="1"/>
  <c r="C79" i="9"/>
  <c r="L79" i="9" s="1"/>
  <c r="M79" i="9" l="1"/>
  <c r="L103" i="9"/>
  <c r="M103" i="9" l="1"/>
  <c r="K103" i="9" l="1"/>
  <c r="N24" i="9"/>
  <c r="N19" i="9"/>
  <c r="N92" i="9"/>
  <c r="N34" i="9"/>
  <c r="N39" i="9"/>
  <c r="N44" i="9"/>
  <c r="N49" i="9"/>
  <c r="N54" i="9"/>
  <c r="N59" i="9"/>
  <c r="N64" i="9"/>
  <c r="N69" i="9"/>
  <c r="N74" i="9"/>
  <c r="N79" i="9"/>
  <c r="N103" i="9" l="1"/>
  <c r="O92" i="8" l="1"/>
  <c r="O91" i="8"/>
  <c r="G87" i="8"/>
  <c r="G86" i="8"/>
  <c r="G85" i="8"/>
  <c r="G84" i="8"/>
  <c r="G83" i="8"/>
  <c r="G82" i="8"/>
  <c r="G81" i="8"/>
  <c r="G80" i="8"/>
  <c r="G79" i="8"/>
  <c r="G78" i="8"/>
  <c r="G68" i="8"/>
  <c r="G67" i="8"/>
  <c r="G66" i="8"/>
  <c r="G65" i="8"/>
  <c r="K64" i="8"/>
  <c r="G63" i="8"/>
  <c r="G62" i="8"/>
  <c r="G61" i="8"/>
  <c r="G60" i="8"/>
  <c r="K59" i="8"/>
  <c r="G58" i="8"/>
  <c r="G57" i="8"/>
  <c r="G56" i="8"/>
  <c r="G55" i="8"/>
  <c r="K54" i="8"/>
  <c r="G53" i="8"/>
  <c r="G52" i="8"/>
  <c r="G51" i="8"/>
  <c r="G50" i="8"/>
  <c r="K49" i="8"/>
  <c r="G48" i="8"/>
  <c r="G47" i="8"/>
  <c r="G46" i="8"/>
  <c r="G45" i="8"/>
  <c r="K44" i="8"/>
  <c r="G43" i="8"/>
  <c r="G42" i="8"/>
  <c r="G41" i="8"/>
  <c r="G40" i="8"/>
  <c r="K39" i="8"/>
  <c r="G38" i="8"/>
  <c r="G37" i="8"/>
  <c r="G36" i="8"/>
  <c r="G35" i="8"/>
  <c r="K34" i="8"/>
  <c r="G33" i="8"/>
  <c r="G32" i="8"/>
  <c r="G31" i="8"/>
  <c r="G30" i="8"/>
  <c r="K29" i="8"/>
  <c r="G28" i="8"/>
  <c r="G27" i="8"/>
  <c r="J26" i="8"/>
  <c r="G26" i="8"/>
  <c r="G25" i="8"/>
  <c r="K24" i="8"/>
  <c r="G23" i="8"/>
  <c r="G22" i="8"/>
  <c r="J21" i="8"/>
  <c r="G21" i="8"/>
  <c r="G20" i="8"/>
  <c r="K19" i="8"/>
  <c r="C19" i="8"/>
  <c r="C24" i="8" s="1"/>
  <c r="C18" i="8"/>
  <c r="C29" i="8" l="1"/>
  <c r="L24" i="8"/>
  <c r="M24" i="8" s="1"/>
  <c r="L19" i="8"/>
  <c r="L29" i="8" l="1"/>
  <c r="M29" i="8" s="1"/>
  <c r="C34" i="8"/>
  <c r="M19" i="8"/>
  <c r="L34" i="8" l="1"/>
  <c r="M34" i="8" s="1"/>
  <c r="C39" i="8"/>
  <c r="C44" i="8" l="1"/>
  <c r="L39" i="8"/>
  <c r="M39" i="8" l="1"/>
  <c r="L44" i="8"/>
  <c r="M44" i="8" s="1"/>
  <c r="C49" i="8"/>
  <c r="L49" i="8" l="1"/>
  <c r="M49" i="8" s="1"/>
  <c r="C54" i="8"/>
  <c r="L54" i="8" l="1"/>
  <c r="M54" i="8" s="1"/>
  <c r="C59" i="8"/>
  <c r="C64" i="8" l="1"/>
  <c r="L64" i="8" s="1"/>
  <c r="L59" i="8"/>
  <c r="M59" i="8" s="1"/>
  <c r="M64" i="8" l="1"/>
  <c r="L88" i="8"/>
  <c r="M88" i="8" l="1"/>
  <c r="K88" i="8" l="1"/>
  <c r="N24" i="8"/>
  <c r="N19" i="8"/>
  <c r="N29" i="8"/>
  <c r="N34" i="8"/>
  <c r="N39" i="8"/>
  <c r="N44" i="8"/>
  <c r="N49" i="8"/>
  <c r="N54" i="8"/>
  <c r="N59" i="8"/>
  <c r="N64" i="8"/>
  <c r="N88" i="8" l="1"/>
  <c r="O92" i="7" l="1"/>
  <c r="O91" i="7"/>
  <c r="G86" i="7"/>
  <c r="G82" i="7"/>
  <c r="D82" i="7"/>
  <c r="G80" i="7"/>
  <c r="K77" i="7"/>
  <c r="E77" i="7"/>
  <c r="G85" i="7" s="1"/>
  <c r="D77" i="7"/>
  <c r="B77" i="7"/>
  <c r="G68" i="7"/>
  <c r="G67" i="7"/>
  <c r="G66" i="7"/>
  <c r="G65" i="7"/>
  <c r="K64" i="7"/>
  <c r="G63" i="7"/>
  <c r="G62" i="7"/>
  <c r="G61" i="7"/>
  <c r="G60" i="7"/>
  <c r="K59" i="7"/>
  <c r="G58" i="7"/>
  <c r="G57" i="7"/>
  <c r="G56" i="7"/>
  <c r="G55" i="7"/>
  <c r="K54" i="7"/>
  <c r="G53" i="7"/>
  <c r="G52" i="7"/>
  <c r="G51" i="7"/>
  <c r="G50" i="7"/>
  <c r="K49" i="7"/>
  <c r="G48" i="7"/>
  <c r="G47" i="7"/>
  <c r="G46" i="7"/>
  <c r="G45" i="7"/>
  <c r="K44" i="7"/>
  <c r="G43" i="7"/>
  <c r="G42" i="7"/>
  <c r="G41" i="7"/>
  <c r="G40" i="7"/>
  <c r="K39" i="7"/>
  <c r="G38" i="7"/>
  <c r="G37" i="7"/>
  <c r="G36" i="7"/>
  <c r="G35" i="7"/>
  <c r="G33" i="7"/>
  <c r="G32" i="7"/>
  <c r="G31" i="7"/>
  <c r="G30" i="7"/>
  <c r="K29" i="7"/>
  <c r="G28" i="7"/>
  <c r="G27" i="7"/>
  <c r="G26" i="7"/>
  <c r="G25" i="7"/>
  <c r="K24" i="7"/>
  <c r="G23" i="7"/>
  <c r="G22" i="7"/>
  <c r="G21" i="7"/>
  <c r="G20" i="7"/>
  <c r="K19" i="7"/>
  <c r="C19" i="7"/>
  <c r="L19" i="7" s="1"/>
  <c r="C18" i="7"/>
  <c r="M19" i="7" l="1"/>
  <c r="C24" i="7"/>
  <c r="G81" i="7"/>
  <c r="G83" i="7"/>
  <c r="G87" i="7"/>
  <c r="G78" i="7"/>
  <c r="G84" i="7"/>
  <c r="G79" i="7"/>
  <c r="L24" i="7" l="1"/>
  <c r="C29" i="7"/>
  <c r="C77" i="7" l="1"/>
  <c r="C34" i="7"/>
  <c r="L29" i="7"/>
  <c r="M29" i="7" s="1"/>
  <c r="M24" i="7"/>
  <c r="C82" i="7" l="1"/>
  <c r="L77" i="7" s="1"/>
  <c r="M77" i="7" s="1"/>
  <c r="C39" i="7"/>
  <c r="L39" i="7" l="1"/>
  <c r="C44" i="7"/>
  <c r="L44" i="7" l="1"/>
  <c r="M44" i="7" s="1"/>
  <c r="C49" i="7"/>
  <c r="M39" i="7"/>
  <c r="C54" i="7" l="1"/>
  <c r="L49" i="7"/>
  <c r="M49" i="7" s="1"/>
  <c r="C59" i="7" l="1"/>
  <c r="L54" i="7"/>
  <c r="M54" i="7" s="1"/>
  <c r="L59" i="7" l="1"/>
  <c r="M59" i="7" s="1"/>
  <c r="C64" i="7"/>
  <c r="L64" i="7" s="1"/>
  <c r="M64" i="7" l="1"/>
  <c r="L88" i="7"/>
  <c r="M88" i="7" l="1"/>
  <c r="K88" i="7" l="1"/>
  <c r="N19" i="7"/>
  <c r="N24" i="7"/>
  <c r="N29" i="7"/>
  <c r="N77" i="7"/>
  <c r="N39" i="7"/>
  <c r="N44" i="7"/>
  <c r="N49" i="7"/>
  <c r="N54" i="7"/>
  <c r="N59" i="7"/>
  <c r="N64" i="7"/>
  <c r="N88" i="7" l="1"/>
  <c r="O87" i="6" l="1"/>
  <c r="O86" i="6"/>
  <c r="G81" i="6"/>
  <c r="G77" i="6"/>
  <c r="D77" i="6"/>
  <c r="G75" i="6"/>
  <c r="K72" i="6"/>
  <c r="E72" i="6"/>
  <c r="G80" i="6" s="1"/>
  <c r="D72" i="6"/>
  <c r="B72" i="6"/>
  <c r="G63" i="6"/>
  <c r="G62" i="6"/>
  <c r="G61" i="6"/>
  <c r="G60" i="6"/>
  <c r="K59" i="6"/>
  <c r="G58" i="6"/>
  <c r="G57" i="6"/>
  <c r="G56" i="6"/>
  <c r="G55" i="6"/>
  <c r="K54" i="6"/>
  <c r="G53" i="6"/>
  <c r="G52" i="6"/>
  <c r="G51" i="6"/>
  <c r="G50" i="6"/>
  <c r="K49" i="6"/>
  <c r="G48" i="6"/>
  <c r="G47" i="6"/>
  <c r="G46" i="6"/>
  <c r="G45" i="6"/>
  <c r="K44" i="6"/>
  <c r="G43" i="6"/>
  <c r="G42" i="6"/>
  <c r="G41" i="6"/>
  <c r="G40" i="6"/>
  <c r="K39" i="6"/>
  <c r="G38" i="6"/>
  <c r="G37" i="6"/>
  <c r="G36" i="6"/>
  <c r="G35" i="6"/>
  <c r="G33" i="6"/>
  <c r="G32" i="6"/>
  <c r="G31" i="6"/>
  <c r="G30" i="6"/>
  <c r="K29" i="6"/>
  <c r="G28" i="6"/>
  <c r="G27" i="6"/>
  <c r="G26" i="6"/>
  <c r="G25" i="6"/>
  <c r="K24" i="6"/>
  <c r="G23" i="6"/>
  <c r="G22" i="6"/>
  <c r="G21" i="6"/>
  <c r="G20" i="6"/>
  <c r="K19" i="6"/>
  <c r="C18" i="6"/>
  <c r="C19" i="6" s="1"/>
  <c r="L19" i="6" l="1"/>
  <c r="C24" i="6"/>
  <c r="G78" i="6"/>
  <c r="G73" i="6"/>
  <c r="G79" i="6"/>
  <c r="G76" i="6"/>
  <c r="G82" i="6"/>
  <c r="G74" i="6"/>
  <c r="C29" i="6" l="1"/>
  <c r="L24" i="6"/>
  <c r="M24" i="6" s="1"/>
  <c r="M19" i="6"/>
  <c r="C72" i="6" l="1"/>
  <c r="L29" i="6"/>
  <c r="C34" i="6"/>
  <c r="C39" i="6" l="1"/>
  <c r="C77" i="6"/>
  <c r="L72" i="6" s="1"/>
  <c r="M72" i="6" s="1"/>
  <c r="M29" i="6"/>
  <c r="L39" i="6" l="1"/>
  <c r="C44" i="6"/>
  <c r="M39" i="6" l="1"/>
  <c r="C49" i="6"/>
  <c r="L44" i="6"/>
  <c r="M44" i="6" s="1"/>
  <c r="L49" i="6" l="1"/>
  <c r="M49" i="6" s="1"/>
  <c r="C54" i="6"/>
  <c r="C59" i="6" l="1"/>
  <c r="L59" i="6" s="1"/>
  <c r="M59" i="6" s="1"/>
  <c r="L54" i="6"/>
  <c r="M54" i="6" l="1"/>
  <c r="L83" i="6"/>
  <c r="M83" i="6" l="1"/>
  <c r="K83" i="6" l="1"/>
  <c r="N19" i="6"/>
  <c r="N24" i="6"/>
  <c r="N72" i="6"/>
  <c r="N29" i="6"/>
  <c r="N39" i="6"/>
  <c r="N44" i="6"/>
  <c r="N49" i="6"/>
  <c r="N59" i="6"/>
  <c r="N54" i="6"/>
  <c r="N83" i="6" l="1"/>
</calcChain>
</file>

<file path=xl/sharedStrings.xml><?xml version="1.0" encoding="utf-8"?>
<sst xmlns="http://schemas.openxmlformats.org/spreadsheetml/2006/main" count="654" uniqueCount="123">
  <si>
    <t>Fecha</t>
  </si>
  <si>
    <t xml:space="preserve">Aforo No. </t>
  </si>
  <si>
    <t>Proyecto</t>
  </si>
  <si>
    <t>Lugar medición</t>
  </si>
  <si>
    <t>Coordenadas:</t>
  </si>
  <si>
    <t>m.s.n.m.</t>
  </si>
  <si>
    <t>Equipo</t>
  </si>
  <si>
    <t>Molinete (**)</t>
  </si>
  <si>
    <t xml:space="preserve">Marca/Referencia </t>
  </si>
  <si>
    <t>Ecuación del molinete</t>
  </si>
  <si>
    <t>Hélice #</t>
  </si>
  <si>
    <t>Electromagnético</t>
  </si>
  <si>
    <t>X</t>
  </si>
  <si>
    <t>OTT / MF Pro</t>
  </si>
  <si>
    <t>Datos de inicio del aforo</t>
  </si>
  <si>
    <t>Referencia de medida:</t>
  </si>
  <si>
    <t>Lecho del río</t>
  </si>
  <si>
    <t>Inicio desde:</t>
  </si>
  <si>
    <t>Margen Izquierda</t>
  </si>
  <si>
    <t>Clima</t>
  </si>
  <si>
    <t>Cálido con llovizna</t>
  </si>
  <si>
    <t>Superficie del agua</t>
  </si>
  <si>
    <t>Margen Derecha</t>
  </si>
  <si>
    <t>Hora de inicio</t>
  </si>
  <si>
    <t>Nivel inicial [m]</t>
  </si>
  <si>
    <t>Temperatura del agua ( °C )</t>
  </si>
  <si>
    <t>Ancho sección (w) [m]</t>
  </si>
  <si>
    <t>Hora de finalización</t>
  </si>
  <si>
    <t>Nivel final [m]</t>
  </si>
  <si>
    <t>Hora de medida</t>
  </si>
  <si>
    <t xml:space="preserve">Ancho dovela (b) [m] </t>
  </si>
  <si>
    <t>Nomenclatura</t>
  </si>
  <si>
    <t xml:space="preserve">        = Velocidad promedio por dovela</t>
  </si>
  <si>
    <t>Dovela #</t>
  </si>
  <si>
    <t>Abscisa [m]</t>
  </si>
  <si>
    <t>y [m]</t>
  </si>
  <si>
    <t>Rev (**)</t>
  </si>
  <si>
    <t>[Rpm] (**)</t>
  </si>
  <si>
    <t>Bq</t>
  </si>
  <si>
    <t>[m/seg]</t>
  </si>
  <si>
    <t>[m/s]</t>
  </si>
  <si>
    <t>[%]</t>
  </si>
  <si>
    <t>[s]</t>
  </si>
  <si>
    <t>pulg</t>
  </si>
  <si>
    <t>Fondo</t>
  </si>
  <si>
    <t>0,2y (* 0.8y)</t>
  </si>
  <si>
    <t>0,4y (* 0.6y)</t>
  </si>
  <si>
    <t>0,8y (* 0.2y)</t>
  </si>
  <si>
    <t>Sup</t>
  </si>
  <si>
    <t>Formulas</t>
  </si>
  <si>
    <t>Nota 1</t>
  </si>
  <si>
    <r>
      <rPr>
        <b/>
        <sz val="10"/>
        <rFont val="Calibri"/>
        <family val="2"/>
        <scheme val="minor"/>
      </rPr>
      <t>Tll</t>
    </r>
    <r>
      <rPr>
        <sz val="10"/>
        <rFont val="Calibri"/>
        <family val="2"/>
        <scheme val="minor"/>
      </rPr>
      <t xml:space="preserve"> es a partir de la curva "Sampling Volume 690 CC" ingresando         en [ft/s]  </t>
    </r>
  </si>
  <si>
    <t>Nota 3</t>
  </si>
  <si>
    <t xml:space="preserve"> Tomar la velocidad superficial del formato L2 (**)   </t>
  </si>
  <si>
    <t>Nota 2</t>
  </si>
  <si>
    <t xml:space="preserve">Qi&lt;= 0.2Qt. Si no se cumple repetir las medidas </t>
  </si>
  <si>
    <t>Nota 4</t>
  </si>
  <si>
    <t>Para y&lt;0.2 m (**), y&lt;0.125 m (*) medir solo a 0.6y</t>
  </si>
  <si>
    <t>0.1y (* 0,9y)</t>
  </si>
  <si>
    <t>0.2y (* 0,8y)</t>
  </si>
  <si>
    <t>0.3y (* 0,7y)</t>
  </si>
  <si>
    <t>0.4y (* 0,6y)</t>
  </si>
  <si>
    <t>0.5y</t>
  </si>
  <si>
    <t>0.6y (* 0,4y)</t>
  </si>
  <si>
    <t>0.7y (* 0,3y)</t>
  </si>
  <si>
    <t>0.8y (* 0,2y)</t>
  </si>
  <si>
    <t>0.9y (* 0,1y)</t>
  </si>
  <si>
    <t>Superficial</t>
  </si>
  <si>
    <t xml:space="preserve">Se tomaron muestras de sedimentos en las dovelas #  _____ , _____ , ______ , ______ , _______ </t>
  </si>
  <si>
    <t>Folio</t>
  </si>
  <si>
    <t>Vmedia</t>
  </si>
  <si>
    <t>%</t>
  </si>
  <si>
    <t>Referencia desde lecho del Río</t>
  </si>
  <si>
    <t>Referencia desde la superficie del agua</t>
  </si>
  <si>
    <t>h Media (m)</t>
  </si>
  <si>
    <t>h Máxima (m)</t>
  </si>
  <si>
    <t>Distancia del sensor al nivel del agua (m)</t>
  </si>
  <si>
    <t>REGISTRO FOTOGRÁFICO</t>
  </si>
  <si>
    <t>Realizado por</t>
  </si>
  <si>
    <t>Revisado por</t>
  </si>
  <si>
    <t>VISTA EN PLANTA</t>
  </si>
  <si>
    <t>SECCIÓN TRANSVERSAL</t>
  </si>
  <si>
    <r>
      <t xml:space="preserve">Tiempo contador </t>
    </r>
    <r>
      <rPr>
        <b/>
        <sz val="10"/>
        <color theme="1"/>
        <rFont val="Calibri"/>
        <family val="2"/>
        <scheme val="minor"/>
      </rPr>
      <t xml:space="preserve">(tc) </t>
    </r>
    <r>
      <rPr>
        <sz val="10"/>
        <color theme="1"/>
        <rFont val="Calibri"/>
        <family val="2"/>
        <scheme val="minor"/>
      </rPr>
      <t>[s]</t>
    </r>
  </si>
  <si>
    <t>Cálido</t>
  </si>
  <si>
    <t>Abscisa: Inicio Dovela # 1 (m)</t>
  </si>
  <si>
    <r>
      <rPr>
        <b/>
        <i/>
        <sz val="10"/>
        <rFont val="Calibri"/>
        <family val="2"/>
        <scheme val="minor"/>
      </rPr>
      <t>Vi</t>
    </r>
    <r>
      <rPr>
        <sz val="10"/>
        <rFont val="Calibri"/>
        <family val="2"/>
        <scheme val="minor"/>
      </rPr>
      <t>= Velocidad a cada yi</t>
    </r>
  </si>
  <si>
    <r>
      <rPr>
        <b/>
        <i/>
        <sz val="10"/>
        <rFont val="Calibri"/>
        <family val="2"/>
        <scheme val="minor"/>
      </rPr>
      <t>hi</t>
    </r>
    <r>
      <rPr>
        <sz val="10"/>
        <rFont val="Calibri"/>
        <family val="2"/>
        <scheme val="minor"/>
      </rPr>
      <t>= Profundidad correspondiente a cada abscisa</t>
    </r>
  </si>
  <si>
    <r>
      <rPr>
        <b/>
        <i/>
        <sz val="10"/>
        <rFont val="Calibri"/>
        <family val="2"/>
        <scheme val="minor"/>
      </rPr>
      <t>y</t>
    </r>
    <r>
      <rPr>
        <b/>
        <sz val="10"/>
        <rFont val="Calibri"/>
        <family val="2"/>
        <scheme val="minor"/>
      </rPr>
      <t>=</t>
    </r>
    <r>
      <rPr>
        <sz val="10"/>
        <rFont val="Calibri"/>
        <family val="2"/>
        <scheme val="minor"/>
      </rPr>
      <t xml:space="preserve"> Profundidad en la mitad dovela</t>
    </r>
  </si>
  <si>
    <r>
      <rPr>
        <b/>
        <i/>
        <sz val="10"/>
        <rFont val="Calibri"/>
        <family val="2"/>
        <scheme val="minor"/>
      </rPr>
      <t>Rev</t>
    </r>
    <r>
      <rPr>
        <sz val="10"/>
        <rFont val="Calibri"/>
        <family val="2"/>
        <scheme val="minor"/>
      </rPr>
      <t xml:space="preserve">= # vueltas en </t>
    </r>
    <r>
      <rPr>
        <b/>
        <sz val="10"/>
        <rFont val="Calibri"/>
        <family val="2"/>
        <scheme val="minor"/>
      </rPr>
      <t>tc</t>
    </r>
  </si>
  <si>
    <r>
      <rPr>
        <b/>
        <i/>
        <sz val="10"/>
        <rFont val="Calibri"/>
        <family val="2"/>
        <scheme val="minor"/>
      </rPr>
      <t>Qi</t>
    </r>
    <r>
      <rPr>
        <sz val="10"/>
        <rFont val="Calibri"/>
        <family val="2"/>
        <scheme val="minor"/>
      </rPr>
      <t>= Caudal por dovela</t>
    </r>
  </si>
  <si>
    <r>
      <rPr>
        <b/>
        <i/>
        <sz val="10"/>
        <rFont val="Calibri"/>
        <family val="2"/>
        <scheme val="minor"/>
      </rPr>
      <t>T</t>
    </r>
    <r>
      <rPr>
        <b/>
        <i/>
        <vertAlign val="subscript"/>
        <sz val="10"/>
        <rFont val="Calibri"/>
        <family val="2"/>
        <scheme val="minor"/>
      </rPr>
      <t>ll</t>
    </r>
    <r>
      <rPr>
        <sz val="10"/>
        <rFont val="Calibri"/>
        <family val="2"/>
        <scheme val="minor"/>
      </rPr>
      <t>= Tiempo de llenado-solidos suspendidos</t>
    </r>
  </si>
  <si>
    <r>
      <rPr>
        <b/>
        <i/>
        <sz val="10"/>
        <rFont val="Calibri"/>
        <family val="2"/>
        <scheme val="minor"/>
      </rPr>
      <t>Rpm</t>
    </r>
    <r>
      <rPr>
        <sz val="10"/>
        <rFont val="Calibri"/>
        <family val="2"/>
        <scheme val="minor"/>
      </rPr>
      <t>= Revoluciones por minuto</t>
    </r>
  </si>
  <si>
    <r>
      <rPr>
        <b/>
        <i/>
        <sz val="10"/>
        <rFont val="Calibri"/>
        <family val="2"/>
        <scheme val="minor"/>
      </rPr>
      <t>Ai</t>
    </r>
    <r>
      <rPr>
        <sz val="10"/>
        <rFont val="Calibri"/>
        <family val="2"/>
        <scheme val="minor"/>
      </rPr>
      <t>= Área por dovela</t>
    </r>
  </si>
  <si>
    <r>
      <rPr>
        <b/>
        <i/>
        <sz val="10"/>
        <rFont val="Calibri"/>
        <family val="2"/>
        <scheme val="minor"/>
      </rPr>
      <t>Bq</t>
    </r>
    <r>
      <rPr>
        <sz val="10"/>
        <rFont val="Calibri"/>
        <family val="2"/>
        <scheme val="minor"/>
      </rPr>
      <t xml:space="preserve"> = Boquilla muestreador solidos suspendidos</t>
    </r>
  </si>
  <si>
    <r>
      <t>h</t>
    </r>
    <r>
      <rPr>
        <b/>
        <vertAlign val="subscript"/>
        <sz val="11"/>
        <color theme="1"/>
        <rFont val="Calibri"/>
        <family val="2"/>
        <scheme val="minor"/>
      </rPr>
      <t xml:space="preserve">i      </t>
    </r>
    <r>
      <rPr>
        <b/>
        <sz val="11"/>
        <color theme="1"/>
        <rFont val="Calibri"/>
        <family val="2"/>
        <scheme val="minor"/>
      </rPr>
      <t xml:space="preserve">  [m]</t>
    </r>
  </si>
  <si>
    <r>
      <t>y</t>
    </r>
    <r>
      <rPr>
        <b/>
        <vertAlign val="subscript"/>
        <sz val="11"/>
        <color theme="1"/>
        <rFont val="Calibri"/>
        <family val="2"/>
        <scheme val="minor"/>
      </rPr>
      <t xml:space="preserve">i   </t>
    </r>
    <r>
      <rPr>
        <b/>
        <sz val="11"/>
        <color theme="1"/>
        <rFont val="Calibri"/>
        <family val="2"/>
        <scheme val="minor"/>
      </rPr>
      <t>[m]</t>
    </r>
  </si>
  <si>
    <r>
      <t>V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</si>
  <si>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A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</si>
  <si>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Q</t>
    </r>
    <r>
      <rPr>
        <b/>
        <vertAlign val="subscript"/>
        <sz val="11"/>
        <color theme="1"/>
        <rFont val="Calibri"/>
        <family val="2"/>
        <scheme val="minor"/>
      </rPr>
      <t>i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</si>
  <si>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ll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</si>
  <si>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]</t>
    </r>
  </si>
  <si>
    <r>
      <t>[m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/s]</t>
    </r>
  </si>
  <si>
    <r>
      <t xml:space="preserve">At = </t>
    </r>
    <r>
      <rPr>
        <sz val="10"/>
        <color theme="1"/>
        <rFont val="Calibri"/>
        <family val="2"/>
      </rPr>
      <t>ΣAi</t>
    </r>
  </si>
  <si>
    <r>
      <t xml:space="preserve">Qt = </t>
    </r>
    <r>
      <rPr>
        <sz val="10"/>
        <color theme="1"/>
        <rFont val="Calibri"/>
        <family val="2"/>
      </rPr>
      <t>ΣQi</t>
    </r>
  </si>
  <si>
    <r>
      <t xml:space="preserve">Nivel del agua en el sensor (m) </t>
    </r>
    <r>
      <rPr>
        <vertAlign val="subscript"/>
        <sz val="9"/>
        <color theme="1"/>
        <rFont val="Calibri"/>
        <family val="2"/>
        <scheme val="minor"/>
      </rPr>
      <t>(Dato suministrado por el administrador de la red)</t>
    </r>
  </si>
  <si>
    <t xml:space="preserve">OBSERVACIONES: </t>
  </si>
  <si>
    <t>Detalle del aforo</t>
  </si>
  <si>
    <t>QUEBRADA EL BOHIO - VEREDA EL AGUILA</t>
  </si>
  <si>
    <t>W 75°29'59.96"</t>
  </si>
  <si>
    <t>N 5° 8' 22.26"</t>
  </si>
  <si>
    <t>2.2</t>
  </si>
  <si>
    <t xml:space="preserve">Durante la jornada se hizo el levantamiento longitudinal del cauce y el transversal de la sección de aforo. Se determinó banca llena. De acuerdo a las observaciones realizadas por el interventor, se tomaron las siguientes medidas: si y&lt;=0,125m, se toma lectura a 0,6; si y&gt;0,125m, se toma lectura </t>
  </si>
  <si>
    <t>Preparación de la sección de aforo</t>
  </si>
  <si>
    <t>Detalle toma de temperatura</t>
  </si>
  <si>
    <t>SIN DATO</t>
  </si>
  <si>
    <t>Detalle medida de temparatura</t>
  </si>
  <si>
    <t>1-239599</t>
  </si>
  <si>
    <t>Toma de dato Sensor de Nivel</t>
  </si>
  <si>
    <t>2.70</t>
  </si>
  <si>
    <t>|</t>
  </si>
  <si>
    <t>Formato L1.2: Medición de caudal por el método área-velocidad: medidas desde la superficie del agua con medidor electromagnético</t>
  </si>
  <si>
    <t xml:space="preserve"> </t>
  </si>
  <si>
    <t>Convenio 221/2016 OPERACIÓN Y MANTENIMIENTO REDES HIDROMETEOROLÓGICAS, SÍSMICAS Y DE CALIDAD DEL AIRE DEL DEPARTAMENTO DE CALDAS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</si>
</sst>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"/>
    <numFmt numFmtId="166" formatCode="0.00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Calibri"/>
      <family val="2"/>
    </font>
    <font>
      <b/>
      <i/>
      <sz val="12"/>
      <color rgb="FF000000"/>
      <name val="Calibri"/>
      <family val="2"/>
    </font>
    <font>
      <sz val="11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i/>
      <u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vertAlign val="subscript"/>
      <sz val="10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vertAlign val="subscript"/>
      <sz val="9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rgb="FFEEECE1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EEECE1"/>
      </patternFill>
    </fill>
    <fill>
      <patternFill patternType="solid">
        <fgColor theme="0" tint="-0.14999847407452621"/>
        <bgColor rgb="FFBFBFB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E5B8B7"/>
      </patternFill>
    </fill>
    <fill>
      <patternFill patternType="solid">
        <fgColor theme="0" tint="-0.249977111117893"/>
        <bgColor rgb="FFD8D8D8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14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36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1" xfId="0" applyFont="1" applyBorder="1"/>
    <xf numFmtId="0" fontId="0" fillId="0" borderId="0" xfId="0" applyFont="1"/>
    <xf numFmtId="0" fontId="0" fillId="0" borderId="0" xfId="0" applyFont="1" applyAlignment="1"/>
    <xf numFmtId="0" fontId="2" fillId="0" borderId="1" xfId="0" applyFont="1" applyBorder="1"/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6" fillId="2" borderId="11" xfId="0" applyFont="1" applyFill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vertical="center"/>
    </xf>
    <xf numFmtId="0" fontId="6" fillId="0" borderId="1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0" fillId="0" borderId="18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6" fillId="0" borderId="27" xfId="0" applyFont="1" applyFill="1" applyBorder="1" applyAlignment="1">
      <alignment horizontal="center" vertical="center"/>
    </xf>
    <xf numFmtId="0" fontId="10" fillId="0" borderId="34" xfId="0" applyFont="1" applyFill="1" applyBorder="1" applyAlignment="1">
      <alignment vertical="top" wrapText="1"/>
    </xf>
    <xf numFmtId="0" fontId="10" fillId="0" borderId="18" xfId="0" applyFont="1" applyFill="1" applyBorder="1" applyAlignment="1">
      <alignment horizontal="center" vertical="top" wrapText="1"/>
    </xf>
    <xf numFmtId="0" fontId="10" fillId="0" borderId="37" xfId="0" applyFont="1" applyFill="1" applyBorder="1" applyAlignment="1">
      <alignment horizontal="center"/>
    </xf>
    <xf numFmtId="0" fontId="6" fillId="0" borderId="27" xfId="0" applyFont="1" applyFill="1" applyBorder="1" applyAlignment="1">
      <alignment horizontal="center" vertical="top" wrapText="1"/>
    </xf>
    <xf numFmtId="0" fontId="6" fillId="0" borderId="44" xfId="0" applyFont="1" applyFill="1" applyBorder="1" applyAlignment="1">
      <alignment horizontal="center" vertical="center" wrapText="1"/>
    </xf>
    <xf numFmtId="20" fontId="6" fillId="0" borderId="47" xfId="0" applyNumberFormat="1" applyFont="1" applyFill="1" applyBorder="1" applyAlignment="1">
      <alignment horizontal="center" vertical="top"/>
    </xf>
    <xf numFmtId="0" fontId="6" fillId="0" borderId="48" xfId="0" applyFont="1" applyFill="1" applyBorder="1" applyAlignment="1">
      <alignment horizontal="center" vertical="top"/>
    </xf>
    <xf numFmtId="0" fontId="6" fillId="0" borderId="37" xfId="0" applyFont="1" applyFill="1" applyBorder="1" applyAlignment="1">
      <alignment horizontal="center" vertical="center"/>
    </xf>
    <xf numFmtId="0" fontId="6" fillId="0" borderId="51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left" vertical="center" wrapText="1"/>
    </xf>
    <xf numFmtId="0" fontId="9" fillId="3" borderId="40" xfId="0" applyFont="1" applyFill="1" applyBorder="1" applyAlignment="1">
      <alignment horizontal="right" vertical="center"/>
    </xf>
    <xf numFmtId="0" fontId="9" fillId="3" borderId="57" xfId="0" applyFont="1" applyFill="1" applyBorder="1" applyAlignment="1">
      <alignment vertical="center"/>
    </xf>
    <xf numFmtId="0" fontId="9" fillId="3" borderId="5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2" fillId="0" borderId="51" xfId="0" applyFont="1" applyBorder="1"/>
    <xf numFmtId="0" fontId="9" fillId="3" borderId="51" xfId="0" applyFont="1" applyFill="1" applyBorder="1" applyAlignment="1">
      <alignment vertical="center"/>
    </xf>
    <xf numFmtId="0" fontId="9" fillId="3" borderId="60" xfId="0" applyFont="1" applyFill="1" applyBorder="1" applyAlignment="1">
      <alignment horizontal="center" vertical="center"/>
    </xf>
    <xf numFmtId="0" fontId="9" fillId="3" borderId="47" xfId="0" applyFont="1" applyFill="1" applyBorder="1" applyAlignment="1">
      <alignment horizontal="center" vertical="center"/>
    </xf>
    <xf numFmtId="0" fontId="13" fillId="0" borderId="0" xfId="0" applyFont="1" applyFill="1"/>
    <xf numFmtId="0" fontId="9" fillId="0" borderId="39" xfId="0" applyFont="1" applyFill="1" applyBorder="1" applyAlignment="1">
      <alignment horizontal="center" vertical="center" wrapText="1"/>
    </xf>
    <xf numFmtId="0" fontId="2" fillId="0" borderId="55" xfId="0" applyFont="1" applyFill="1" applyBorder="1" applyAlignment="1">
      <alignment horizontal="center" vertical="center" wrapText="1"/>
    </xf>
    <xf numFmtId="0" fontId="9" fillId="0" borderId="55" xfId="0" applyFont="1" applyFill="1" applyBorder="1" applyAlignment="1">
      <alignment horizontal="center" vertical="center"/>
    </xf>
    <xf numFmtId="0" fontId="3" fillId="0" borderId="55" xfId="0" applyFont="1" applyFill="1" applyBorder="1" applyAlignment="1">
      <alignment horizontal="center"/>
    </xf>
    <xf numFmtId="2" fontId="5" fillId="0" borderId="55" xfId="0" applyNumberFormat="1" applyFont="1" applyFill="1" applyBorder="1" applyAlignment="1">
      <alignment vertical="center"/>
    </xf>
    <xf numFmtId="164" fontId="5" fillId="0" borderId="55" xfId="0" applyNumberFormat="1" applyFont="1" applyFill="1" applyBorder="1" applyAlignment="1">
      <alignment vertical="center"/>
    </xf>
    <xf numFmtId="0" fontId="9" fillId="0" borderId="61" xfId="0" applyFont="1" applyFill="1" applyBorder="1" applyAlignment="1">
      <alignment horizontal="center" vertical="center"/>
    </xf>
    <xf numFmtId="0" fontId="0" fillId="0" borderId="0" xfId="0" applyFont="1" applyFill="1" applyAlignment="1"/>
    <xf numFmtId="2" fontId="5" fillId="0" borderId="55" xfId="0" applyNumberFormat="1" applyFont="1" applyFill="1" applyBorder="1" applyAlignment="1">
      <alignment horizontal="center" vertical="center"/>
    </xf>
    <xf numFmtId="164" fontId="5" fillId="0" borderId="55" xfId="0" applyNumberFormat="1" applyFont="1" applyFill="1" applyBorder="1" applyAlignment="1">
      <alignment horizontal="center" vertical="center"/>
    </xf>
    <xf numFmtId="0" fontId="3" fillId="0" borderId="57" xfId="0" applyFont="1" applyFill="1" applyBorder="1" applyAlignment="1">
      <alignment horizontal="center"/>
    </xf>
    <xf numFmtId="2" fontId="5" fillId="0" borderId="57" xfId="0" applyNumberFormat="1" applyFont="1" applyFill="1" applyBorder="1" applyAlignment="1">
      <alignment horizontal="center" vertical="center"/>
    </xf>
    <xf numFmtId="2" fontId="5" fillId="0" borderId="57" xfId="0" applyNumberFormat="1" applyFont="1" applyFill="1" applyBorder="1" applyAlignment="1">
      <alignment vertical="center"/>
    </xf>
    <xf numFmtId="0" fontId="2" fillId="0" borderId="57" xfId="0" applyFont="1" applyFill="1" applyBorder="1"/>
    <xf numFmtId="164" fontId="5" fillId="0" borderId="57" xfId="0" applyNumberFormat="1" applyFont="1" applyFill="1" applyBorder="1" applyAlignment="1">
      <alignment horizontal="center" vertical="center"/>
    </xf>
    <xf numFmtId="0" fontId="3" fillId="0" borderId="62" xfId="0" applyFont="1" applyFill="1" applyBorder="1" applyAlignment="1">
      <alignment horizontal="center"/>
    </xf>
    <xf numFmtId="2" fontId="5" fillId="0" borderId="62" xfId="0" applyNumberFormat="1" applyFont="1" applyFill="1" applyBorder="1" applyAlignment="1">
      <alignment horizontal="center" vertical="center"/>
    </xf>
    <xf numFmtId="2" fontId="5" fillId="0" borderId="62" xfId="0" applyNumberFormat="1" applyFont="1" applyFill="1" applyBorder="1" applyAlignment="1">
      <alignment vertical="center"/>
    </xf>
    <xf numFmtId="0" fontId="2" fillId="0" borderId="62" xfId="0" applyFont="1" applyFill="1" applyBorder="1"/>
    <xf numFmtId="164" fontId="5" fillId="0" borderId="62" xfId="0" applyNumberFormat="1" applyFont="1" applyFill="1" applyBorder="1" applyAlignment="1">
      <alignment horizontal="center" vertical="center"/>
    </xf>
    <xf numFmtId="0" fontId="3" fillId="0" borderId="65" xfId="0" applyFont="1" applyFill="1" applyBorder="1" applyAlignment="1">
      <alignment horizontal="center"/>
    </xf>
    <xf numFmtId="2" fontId="5" fillId="0" borderId="65" xfId="0" applyNumberFormat="1" applyFont="1" applyFill="1" applyBorder="1" applyAlignment="1">
      <alignment horizontal="center" vertical="center"/>
    </xf>
    <xf numFmtId="2" fontId="5" fillId="0" borderId="65" xfId="0" applyNumberFormat="1" applyFont="1" applyFill="1" applyBorder="1" applyAlignment="1">
      <alignment vertical="center"/>
    </xf>
    <xf numFmtId="0" fontId="2" fillId="0" borderId="65" xfId="0" applyFont="1" applyFill="1" applyBorder="1"/>
    <xf numFmtId="164" fontId="5" fillId="0" borderId="65" xfId="0" applyNumberFormat="1" applyFont="1" applyFill="1" applyBorder="1" applyAlignment="1">
      <alignment horizontal="center" vertical="center"/>
    </xf>
    <xf numFmtId="0" fontId="14" fillId="0" borderId="0" xfId="0" applyFont="1"/>
    <xf numFmtId="0" fontId="13" fillId="0" borderId="0" xfId="0" applyFont="1"/>
    <xf numFmtId="0" fontId="14" fillId="0" borderId="78" xfId="0" applyFont="1" applyBorder="1"/>
    <xf numFmtId="0" fontId="13" fillId="0" borderId="1" xfId="0" applyFont="1" applyBorder="1"/>
    <xf numFmtId="2" fontId="5" fillId="8" borderId="82" xfId="0" applyNumberFormat="1" applyFont="1" applyFill="1" applyBorder="1" applyAlignment="1">
      <alignment horizontal="center" vertical="center"/>
    </xf>
    <xf numFmtId="2" fontId="5" fillId="8" borderId="82" xfId="0" applyNumberFormat="1" applyFont="1" applyFill="1" applyBorder="1" applyAlignment="1">
      <alignment horizontal="center"/>
    </xf>
    <xf numFmtId="164" fontId="2" fillId="8" borderId="82" xfId="0" applyNumberFormat="1" applyFont="1" applyFill="1" applyBorder="1" applyAlignment="1">
      <alignment horizontal="center"/>
    </xf>
    <xf numFmtId="164" fontId="2" fillId="7" borderId="82" xfId="0" applyNumberFormat="1" applyFont="1" applyFill="1" applyBorder="1" applyAlignment="1">
      <alignment horizontal="center"/>
    </xf>
    <xf numFmtId="0" fontId="5" fillId="8" borderId="62" xfId="0" applyFont="1" applyFill="1" applyBorder="1" applyAlignment="1">
      <alignment horizontal="center"/>
    </xf>
    <xf numFmtId="2" fontId="5" fillId="8" borderId="62" xfId="0" applyNumberFormat="1" applyFont="1" applyFill="1" applyBorder="1" applyAlignment="1">
      <alignment horizontal="center" vertical="center"/>
    </xf>
    <xf numFmtId="2" fontId="5" fillId="8" borderId="62" xfId="0" applyNumberFormat="1" applyFont="1" applyFill="1" applyBorder="1" applyAlignment="1">
      <alignment horizontal="center"/>
    </xf>
    <xf numFmtId="164" fontId="2" fillId="8" borderId="62" xfId="0" applyNumberFormat="1" applyFont="1" applyFill="1" applyBorder="1" applyAlignment="1">
      <alignment horizontal="center"/>
    </xf>
    <xf numFmtId="164" fontId="2" fillId="7" borderId="62" xfId="0" applyNumberFormat="1" applyFont="1" applyFill="1" applyBorder="1" applyAlignment="1">
      <alignment horizontal="center"/>
    </xf>
    <xf numFmtId="2" fontId="5" fillId="8" borderId="89" xfId="0" applyNumberFormat="1" applyFont="1" applyFill="1" applyBorder="1" applyAlignment="1">
      <alignment horizontal="center" vertical="center"/>
    </xf>
    <xf numFmtId="2" fontId="5" fillId="8" borderId="89" xfId="0" applyNumberFormat="1" applyFont="1" applyFill="1" applyBorder="1" applyAlignment="1">
      <alignment horizontal="center"/>
    </xf>
    <xf numFmtId="164" fontId="2" fillId="8" borderId="89" xfId="0" applyNumberFormat="1" applyFont="1" applyFill="1" applyBorder="1" applyAlignment="1">
      <alignment horizontal="center"/>
    </xf>
    <xf numFmtId="164" fontId="2" fillId="10" borderId="89" xfId="0" applyNumberFormat="1" applyFont="1" applyFill="1" applyBorder="1" applyAlignment="1">
      <alignment horizontal="center"/>
    </xf>
    <xf numFmtId="0" fontId="13" fillId="0" borderId="51" xfId="0" applyFont="1" applyBorder="1"/>
    <xf numFmtId="0" fontId="1" fillId="0" borderId="110" xfId="0" applyFont="1" applyFill="1" applyBorder="1" applyAlignment="1"/>
    <xf numFmtId="0" fontId="15" fillId="5" borderId="113" xfId="0" applyFont="1" applyFill="1" applyBorder="1" applyAlignment="1">
      <alignment vertical="center" wrapText="1"/>
    </xf>
    <xf numFmtId="0" fontId="15" fillId="5" borderId="71" xfId="0" applyFont="1" applyFill="1" applyBorder="1" applyAlignment="1">
      <alignment vertical="center" wrapText="1"/>
    </xf>
    <xf numFmtId="0" fontId="0" fillId="0" borderId="118" xfId="0" applyBorder="1"/>
    <xf numFmtId="0" fontId="0" fillId="0" borderId="118" xfId="0" applyBorder="1" applyAlignment="1">
      <alignment horizontal="center"/>
    </xf>
    <xf numFmtId="164" fontId="9" fillId="2" borderId="101" xfId="0" applyNumberFormat="1" applyFont="1" applyFill="1" applyBorder="1" applyAlignment="1">
      <alignment horizontal="center"/>
    </xf>
    <xf numFmtId="0" fontId="0" fillId="0" borderId="0" xfId="0" applyBorder="1"/>
    <xf numFmtId="0" fontId="0" fillId="0" borderId="7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18" xfId="0" applyBorder="1" applyAlignment="1"/>
    <xf numFmtId="166" fontId="5" fillId="0" borderId="90" xfId="0" applyNumberFormat="1" applyFont="1" applyBorder="1" applyAlignment="1">
      <alignment horizontal="center"/>
    </xf>
    <xf numFmtId="166" fontId="5" fillId="0" borderId="82" xfId="0" applyNumberFormat="1" applyFont="1" applyBorder="1" applyAlignment="1">
      <alignment horizontal="center" vertical="center"/>
    </xf>
    <xf numFmtId="2" fontId="5" fillId="0" borderId="91" xfId="0" applyNumberFormat="1" applyFont="1" applyBorder="1" applyAlignment="1">
      <alignment horizontal="center" vertical="center"/>
    </xf>
    <xf numFmtId="0" fontId="2" fillId="0" borderId="94" xfId="0" applyFont="1" applyBorder="1" applyAlignment="1">
      <alignment horizontal="center" vertical="top"/>
    </xf>
    <xf numFmtId="0" fontId="2" fillId="0" borderId="89" xfId="0" applyFont="1" applyBorder="1" applyAlignment="1">
      <alignment horizontal="center" vertical="top"/>
    </xf>
    <xf numFmtId="0" fontId="2" fillId="0" borderId="95" xfId="0" applyFont="1" applyBorder="1" applyAlignment="1">
      <alignment horizontal="center" vertical="top"/>
    </xf>
    <xf numFmtId="0" fontId="1" fillId="0" borderId="110" xfId="0" applyFont="1" applyFill="1" applyBorder="1" applyAlignment="1">
      <alignment vertical="center"/>
    </xf>
    <xf numFmtId="0" fontId="0" fillId="0" borderId="118" xfId="0" applyFont="1" applyBorder="1"/>
    <xf numFmtId="0" fontId="14" fillId="0" borderId="118" xfId="0" applyFont="1" applyBorder="1"/>
    <xf numFmtId="164" fontId="16" fillId="0" borderId="133" xfId="0" applyNumberFormat="1" applyFont="1" applyBorder="1" applyAlignment="1">
      <alignment horizontal="center"/>
    </xf>
    <xf numFmtId="164" fontId="16" fillId="0" borderId="133" xfId="0" applyNumberFormat="1" applyFont="1" applyBorder="1" applyAlignment="1">
      <alignment horizontal="center" vertical="center"/>
    </xf>
    <xf numFmtId="166" fontId="16" fillId="0" borderId="133" xfId="0" applyNumberFormat="1" applyFont="1" applyBorder="1" applyAlignment="1">
      <alignment horizontal="center" vertical="center"/>
    </xf>
    <xf numFmtId="2" fontId="14" fillId="0" borderId="0" xfId="0" applyNumberFormat="1" applyFont="1" applyBorder="1" applyAlignment="1">
      <alignment horizontal="center"/>
    </xf>
    <xf numFmtId="0" fontId="14" fillId="0" borderId="99" xfId="0" applyFont="1" applyBorder="1" applyAlignment="1">
      <alignment horizontal="center" vertical="top"/>
    </xf>
    <xf numFmtId="164" fontId="9" fillId="2" borderId="101" xfId="0" applyNumberFormat="1" applyFont="1" applyFill="1" applyBorder="1" applyAlignment="1">
      <alignment horizontal="center" wrapText="1"/>
    </xf>
    <xf numFmtId="20" fontId="6" fillId="0" borderId="47" xfId="0" applyNumberFormat="1" applyFont="1" applyFill="1" applyBorder="1" applyAlignment="1">
      <alignment horizontal="center" vertical="center"/>
    </xf>
    <xf numFmtId="0" fontId="1" fillId="0" borderId="102" xfId="0" applyFont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106" xfId="0" applyFill="1" applyBorder="1" applyAlignment="1">
      <alignment horizontal="center"/>
    </xf>
    <xf numFmtId="0" fontId="0" fillId="6" borderId="103" xfId="0" applyFill="1" applyBorder="1" applyAlignment="1">
      <alignment horizontal="center"/>
    </xf>
    <xf numFmtId="0" fontId="0" fillId="6" borderId="105" xfId="0" applyFill="1" applyBorder="1" applyAlignment="1">
      <alignment horizontal="center"/>
    </xf>
    <xf numFmtId="0" fontId="0" fillId="6" borderId="72" xfId="0" applyFill="1" applyBorder="1" applyAlignment="1">
      <alignment horizontal="center"/>
    </xf>
    <xf numFmtId="0" fontId="0" fillId="6" borderId="107" xfId="0" applyFill="1" applyBorder="1" applyAlignment="1">
      <alignment horizontal="center"/>
    </xf>
    <xf numFmtId="0" fontId="0" fillId="6" borderId="104" xfId="0" applyFill="1" applyBorder="1" applyAlignment="1">
      <alignment horizontal="center"/>
    </xf>
    <xf numFmtId="0" fontId="0" fillId="6" borderId="109" xfId="0" applyFill="1" applyBorder="1" applyAlignment="1">
      <alignment horizontal="center"/>
    </xf>
    <xf numFmtId="0" fontId="0" fillId="6" borderId="108" xfId="0" applyFill="1" applyBorder="1" applyAlignment="1">
      <alignment horizontal="center"/>
    </xf>
    <xf numFmtId="0" fontId="0" fillId="0" borderId="76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14" fillId="0" borderId="113" xfId="0" applyFont="1" applyBorder="1" applyAlignment="1">
      <alignment horizontal="center"/>
    </xf>
    <xf numFmtId="0" fontId="14" fillId="0" borderId="114" xfId="0" applyFont="1" applyBorder="1" applyAlignment="1">
      <alignment horizontal="center"/>
    </xf>
    <xf numFmtId="0" fontId="14" fillId="0" borderId="115" xfId="0" applyFont="1" applyBorder="1" applyAlignment="1">
      <alignment horizontal="center"/>
    </xf>
    <xf numFmtId="0" fontId="0" fillId="0" borderId="100" xfId="0" applyBorder="1" applyAlignment="1">
      <alignment horizontal="center"/>
    </xf>
    <xf numFmtId="0" fontId="1" fillId="12" borderId="78" xfId="0" applyFont="1" applyFill="1" applyBorder="1" applyAlignment="1">
      <alignment horizontal="center"/>
    </xf>
    <xf numFmtId="0" fontId="1" fillId="12" borderId="69" xfId="0" applyFont="1" applyFill="1" applyBorder="1" applyAlignment="1">
      <alignment horizontal="center"/>
    </xf>
    <xf numFmtId="0" fontId="1" fillId="12" borderId="70" xfId="0" applyFont="1" applyFill="1" applyBorder="1" applyAlignment="1">
      <alignment horizontal="center"/>
    </xf>
    <xf numFmtId="0" fontId="1" fillId="0" borderId="92" xfId="0" applyFont="1" applyFill="1" applyBorder="1" applyAlignment="1">
      <alignment horizontal="center"/>
    </xf>
    <xf numFmtId="0" fontId="1" fillId="0" borderId="98" xfId="0" applyFont="1" applyFill="1" applyBorder="1" applyAlignment="1">
      <alignment horizontal="center"/>
    </xf>
    <xf numFmtId="0" fontId="1" fillId="0" borderId="119" xfId="0" applyFont="1" applyFill="1" applyBorder="1" applyAlignment="1">
      <alignment horizontal="center"/>
    </xf>
    <xf numFmtId="0" fontId="1" fillId="0" borderId="93" xfId="0" applyFont="1" applyFill="1" applyBorder="1" applyAlignment="1">
      <alignment horizontal="center"/>
    </xf>
    <xf numFmtId="0" fontId="1" fillId="0" borderId="96" xfId="0" applyFont="1" applyFill="1" applyBorder="1" applyAlignment="1">
      <alignment horizontal="center" vertical="center"/>
    </xf>
    <xf numFmtId="0" fontId="1" fillId="0" borderId="99" xfId="0" applyFont="1" applyFill="1" applyBorder="1" applyAlignment="1">
      <alignment horizontal="center" vertical="center"/>
    </xf>
    <xf numFmtId="0" fontId="1" fillId="0" borderId="129" xfId="0" applyFont="1" applyFill="1" applyBorder="1" applyAlignment="1">
      <alignment horizontal="center" vertical="center"/>
    </xf>
    <xf numFmtId="0" fontId="1" fillId="0" borderId="97" xfId="0" applyFont="1" applyFill="1" applyBorder="1" applyAlignment="1">
      <alignment horizontal="center" vertical="center"/>
    </xf>
    <xf numFmtId="0" fontId="1" fillId="0" borderId="120" xfId="0" applyFont="1" applyBorder="1" applyAlignment="1">
      <alignment horizontal="center"/>
    </xf>
    <xf numFmtId="0" fontId="1" fillId="0" borderId="103" xfId="0" applyFont="1" applyBorder="1" applyAlignment="1">
      <alignment horizontal="center"/>
    </xf>
    <xf numFmtId="0" fontId="1" fillId="0" borderId="121" xfId="0" applyFont="1" applyBorder="1" applyAlignment="1">
      <alignment horizontal="center"/>
    </xf>
    <xf numFmtId="0" fontId="1" fillId="0" borderId="11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73" xfId="0" applyFont="1" applyBorder="1" applyAlignment="1">
      <alignment horizontal="center"/>
    </xf>
    <xf numFmtId="0" fontId="1" fillId="0" borderId="110" xfId="0" applyFont="1" applyBorder="1" applyAlignment="1">
      <alignment horizontal="center"/>
    </xf>
    <xf numFmtId="0" fontId="1" fillId="0" borderId="76" xfId="0" applyFont="1" applyBorder="1" applyAlignment="1">
      <alignment horizontal="center"/>
    </xf>
    <xf numFmtId="0" fontId="1" fillId="0" borderId="77" xfId="0" applyFont="1" applyBorder="1" applyAlignment="1">
      <alignment horizontal="center"/>
    </xf>
    <xf numFmtId="0" fontId="5" fillId="12" borderId="122" xfId="0" applyFont="1" applyFill="1" applyBorder="1" applyAlignment="1">
      <alignment horizontal="center" wrapText="1"/>
    </xf>
    <xf numFmtId="0" fontId="5" fillId="12" borderId="123" xfId="0" applyFont="1" applyFill="1" applyBorder="1" applyAlignment="1">
      <alignment horizontal="center" wrapText="1"/>
    </xf>
    <xf numFmtId="0" fontId="5" fillId="12" borderId="124" xfId="0" applyFont="1" applyFill="1" applyBorder="1" applyAlignment="1">
      <alignment horizontal="center" wrapText="1"/>
    </xf>
    <xf numFmtId="164" fontId="5" fillId="13" borderId="119" xfId="0" applyNumberFormat="1" applyFont="1" applyFill="1" applyBorder="1" applyAlignment="1">
      <alignment horizontal="center"/>
    </xf>
    <xf numFmtId="164" fontId="5" fillId="13" borderId="125" xfId="0" applyNumberFormat="1" applyFont="1" applyFill="1" applyBorder="1" applyAlignment="1">
      <alignment horizontal="center"/>
    </xf>
    <xf numFmtId="0" fontId="5" fillId="12" borderId="126" xfId="0" applyFont="1" applyFill="1" applyBorder="1" applyAlignment="1">
      <alignment horizontal="center" wrapText="1"/>
    </xf>
    <xf numFmtId="0" fontId="5" fillId="12" borderId="127" xfId="0" applyFont="1" applyFill="1" applyBorder="1" applyAlignment="1">
      <alignment horizontal="center" wrapText="1"/>
    </xf>
    <xf numFmtId="0" fontId="5" fillId="12" borderId="128" xfId="0" applyFont="1" applyFill="1" applyBorder="1" applyAlignment="1">
      <alignment horizontal="center" wrapText="1"/>
    </xf>
    <xf numFmtId="164" fontId="5" fillId="13" borderId="129" xfId="0" applyNumberFormat="1" applyFont="1" applyFill="1" applyBorder="1" applyAlignment="1">
      <alignment horizontal="center"/>
    </xf>
    <xf numFmtId="164" fontId="5" fillId="13" borderId="130" xfId="0" applyNumberFormat="1" applyFont="1" applyFill="1" applyBorder="1" applyAlignment="1">
      <alignment horizontal="center"/>
    </xf>
    <xf numFmtId="0" fontId="0" fillId="0" borderId="131" xfId="0" applyFont="1" applyBorder="1" applyAlignment="1">
      <alignment horizontal="center" vertical="top" wrapText="1"/>
    </xf>
    <xf numFmtId="0" fontId="0" fillId="0" borderId="69" xfId="0" applyFont="1" applyBorder="1" applyAlignment="1">
      <alignment horizontal="center" vertical="top" wrapText="1"/>
    </xf>
    <xf numFmtId="0" fontId="0" fillId="0" borderId="70" xfId="0" applyFont="1" applyBorder="1" applyAlignment="1">
      <alignment horizontal="center" vertical="top" wrapText="1"/>
    </xf>
    <xf numFmtId="0" fontId="0" fillId="0" borderId="111" xfId="0" applyFont="1" applyBorder="1" applyAlignment="1">
      <alignment horizontal="center" vertical="top" wrapText="1"/>
    </xf>
    <xf numFmtId="0" fontId="0" fillId="0" borderId="0" xfId="0" applyFont="1" applyBorder="1" applyAlignment="1">
      <alignment horizontal="center" vertical="top" wrapText="1"/>
    </xf>
    <xf numFmtId="0" fontId="0" fillId="0" borderId="73" xfId="0" applyFont="1" applyBorder="1" applyAlignment="1">
      <alignment horizontal="center" vertical="top" wrapText="1"/>
    </xf>
    <xf numFmtId="0" fontId="0" fillId="0" borderId="110" xfId="0" applyFont="1" applyBorder="1" applyAlignment="1">
      <alignment horizontal="center" vertical="top" wrapText="1"/>
    </xf>
    <xf numFmtId="0" fontId="0" fillId="0" borderId="76" xfId="0" applyFont="1" applyBorder="1" applyAlignment="1">
      <alignment horizontal="center" vertical="top" wrapText="1"/>
    </xf>
    <xf numFmtId="0" fontId="0" fillId="0" borderId="77" xfId="0" applyFont="1" applyBorder="1" applyAlignment="1">
      <alignment horizontal="center" vertical="top" wrapText="1"/>
    </xf>
    <xf numFmtId="0" fontId="0" fillId="0" borderId="78" xfId="0" applyFont="1" applyBorder="1" applyAlignment="1">
      <alignment horizontal="left" wrapText="1"/>
    </xf>
    <xf numFmtId="0" fontId="0" fillId="0" borderId="100" xfId="0" applyFont="1" applyBorder="1" applyAlignment="1">
      <alignment horizontal="left" wrapText="1"/>
    </xf>
    <xf numFmtId="0" fontId="0" fillId="0" borderId="112" xfId="0" applyFont="1" applyBorder="1" applyAlignment="1">
      <alignment horizontal="left" wrapText="1"/>
    </xf>
    <xf numFmtId="0" fontId="0" fillId="0" borderId="78" xfId="0" applyFont="1" applyFill="1" applyBorder="1" applyAlignment="1">
      <alignment horizontal="left" vertical="center" wrapText="1"/>
    </xf>
    <xf numFmtId="0" fontId="0" fillId="0" borderId="100" xfId="0" applyFont="1" applyFill="1" applyBorder="1" applyAlignment="1">
      <alignment horizontal="left" vertical="center" wrapText="1"/>
    </xf>
    <xf numFmtId="0" fontId="0" fillId="0" borderId="112" xfId="0" applyFont="1" applyFill="1" applyBorder="1" applyAlignment="1">
      <alignment horizontal="left" vertical="center" wrapText="1"/>
    </xf>
    <xf numFmtId="0" fontId="9" fillId="11" borderId="69" xfId="0" applyFont="1" applyFill="1" applyBorder="1" applyAlignment="1">
      <alignment horizontal="center" vertical="top" wrapText="1"/>
    </xf>
    <xf numFmtId="0" fontId="9" fillId="11" borderId="6" xfId="0" applyFont="1" applyFill="1" applyBorder="1" applyAlignment="1">
      <alignment horizontal="center" vertical="top" wrapText="1"/>
    </xf>
    <xf numFmtId="0" fontId="2" fillId="9" borderId="92" xfId="0" applyFont="1" applyFill="1" applyBorder="1" applyAlignment="1">
      <alignment horizontal="center" vertical="center"/>
    </xf>
    <xf numFmtId="0" fontId="0" fillId="9" borderId="96" xfId="0" applyFont="1" applyFill="1" applyBorder="1" applyAlignment="1">
      <alignment horizontal="center" vertical="center"/>
    </xf>
    <xf numFmtId="0" fontId="0" fillId="9" borderId="93" xfId="0" applyFont="1" applyFill="1" applyBorder="1" applyAlignment="1">
      <alignment horizontal="center"/>
    </xf>
    <xf numFmtId="0" fontId="0" fillId="9" borderId="97" xfId="0" applyFont="1" applyFill="1" applyBorder="1" applyAlignment="1">
      <alignment horizontal="center"/>
    </xf>
    <xf numFmtId="0" fontId="1" fillId="0" borderId="92" xfId="0" applyFont="1" applyBorder="1" applyAlignment="1">
      <alignment horizontal="center"/>
    </xf>
    <xf numFmtId="0" fontId="1" fillId="0" borderId="98" xfId="0" applyFont="1" applyBorder="1" applyAlignment="1">
      <alignment horizontal="center"/>
    </xf>
    <xf numFmtId="0" fontId="1" fillId="0" borderId="119" xfId="0" applyFont="1" applyBorder="1" applyAlignment="1">
      <alignment horizontal="center"/>
    </xf>
    <xf numFmtId="0" fontId="1" fillId="9" borderId="92" xfId="0" applyFont="1" applyFill="1" applyBorder="1" applyAlignment="1">
      <alignment horizontal="center" vertical="top"/>
    </xf>
    <xf numFmtId="0" fontId="1" fillId="9" borderId="98" xfId="0" applyFont="1" applyFill="1" applyBorder="1" applyAlignment="1">
      <alignment horizontal="center" vertical="top"/>
    </xf>
    <xf numFmtId="0" fontId="1" fillId="9" borderId="93" xfId="0" applyFont="1" applyFill="1" applyBorder="1" applyAlignment="1">
      <alignment horizontal="center" vertical="top"/>
    </xf>
    <xf numFmtId="0" fontId="5" fillId="8" borderId="81" xfId="0" applyFont="1" applyFill="1" applyBorder="1" applyAlignment="1">
      <alignment horizontal="center" vertical="center"/>
    </xf>
    <xf numFmtId="0" fontId="5" fillId="9" borderId="58" xfId="0" applyFont="1" applyFill="1" applyBorder="1"/>
    <xf numFmtId="0" fontId="5" fillId="9" borderId="88" xfId="0" applyFont="1" applyFill="1" applyBorder="1"/>
    <xf numFmtId="166" fontId="5" fillId="8" borderId="81" xfId="0" applyNumberFormat="1" applyFont="1" applyFill="1" applyBorder="1" applyAlignment="1">
      <alignment horizontal="center" vertical="center"/>
    </xf>
    <xf numFmtId="0" fontId="5" fillId="8" borderId="83" xfId="0" applyFont="1" applyFill="1" applyBorder="1" applyAlignment="1">
      <alignment horizontal="center" vertical="center"/>
    </xf>
    <xf numFmtId="0" fontId="5" fillId="9" borderId="85" xfId="0" applyFont="1" applyFill="1" applyBorder="1"/>
    <xf numFmtId="2" fontId="5" fillId="7" borderId="60" xfId="0" applyNumberFormat="1" applyFont="1" applyFill="1" applyBorder="1" applyAlignment="1">
      <alignment horizontal="center" vertical="center"/>
    </xf>
    <xf numFmtId="164" fontId="5" fillId="7" borderId="60" xfId="0" applyNumberFormat="1" applyFont="1" applyFill="1" applyBorder="1" applyAlignment="1">
      <alignment horizontal="center" vertical="center"/>
    </xf>
    <xf numFmtId="0" fontId="16" fillId="0" borderId="114" xfId="0" applyFont="1" applyBorder="1" applyAlignment="1">
      <alignment horizontal="left" vertical="center" wrapText="1"/>
    </xf>
    <xf numFmtId="0" fontId="16" fillId="0" borderId="115" xfId="0" applyFont="1" applyBorder="1" applyAlignment="1">
      <alignment horizontal="left" vertical="center" wrapText="1"/>
    </xf>
    <xf numFmtId="0" fontId="16" fillId="0" borderId="103" xfId="0" applyFont="1" applyBorder="1" applyAlignment="1">
      <alignment horizontal="center" vertical="top" wrapText="1"/>
    </xf>
    <xf numFmtId="0" fontId="16" fillId="0" borderId="0" xfId="0" applyFont="1" applyBorder="1" applyAlignment="1">
      <alignment horizontal="center" vertical="top" wrapText="1"/>
    </xf>
    <xf numFmtId="0" fontId="16" fillId="0" borderId="116" xfId="0" applyFont="1" applyBorder="1" applyAlignment="1">
      <alignment horizontal="left" vertical="center" wrapText="1"/>
    </xf>
    <xf numFmtId="0" fontId="16" fillId="0" borderId="117" xfId="0" applyFont="1" applyBorder="1" applyAlignment="1">
      <alignment horizontal="left" vertical="center" wrapText="1"/>
    </xf>
    <xf numFmtId="0" fontId="5" fillId="7" borderId="80" xfId="0" applyFont="1" applyFill="1" applyBorder="1" applyAlignment="1">
      <alignment horizontal="center" vertical="center"/>
    </xf>
    <xf numFmtId="0" fontId="5" fillId="9" borderId="84" xfId="0" applyFont="1" applyFill="1" applyBorder="1"/>
    <xf numFmtId="0" fontId="5" fillId="9" borderId="87" xfId="0" applyFont="1" applyFill="1" applyBorder="1"/>
    <xf numFmtId="2" fontId="5" fillId="7" borderId="81" xfId="0" applyNumberFormat="1" applyFont="1" applyFill="1" applyBorder="1" applyAlignment="1">
      <alignment horizontal="center" vertical="center"/>
    </xf>
    <xf numFmtId="0" fontId="5" fillId="9" borderId="86" xfId="0" applyFont="1" applyFill="1" applyBorder="1"/>
    <xf numFmtId="164" fontId="5" fillId="7" borderId="81" xfId="0" applyNumberFormat="1" applyFont="1" applyFill="1" applyBorder="1" applyAlignment="1">
      <alignment horizontal="center" vertical="center"/>
    </xf>
    <xf numFmtId="164" fontId="5" fillId="8" borderId="81" xfId="0" applyNumberFormat="1" applyFont="1" applyFill="1" applyBorder="1" applyAlignment="1">
      <alignment horizontal="center" vertical="center"/>
    </xf>
    <xf numFmtId="164" fontId="5" fillId="0" borderId="55" xfId="0" applyNumberFormat="1" applyFont="1" applyFill="1" applyBorder="1" applyAlignment="1">
      <alignment horizontal="center" vertical="center"/>
    </xf>
    <xf numFmtId="0" fontId="5" fillId="0" borderId="58" xfId="0" applyFont="1" applyFill="1" applyBorder="1"/>
    <xf numFmtId="0" fontId="5" fillId="0" borderId="64" xfId="0" applyFont="1" applyFill="1" applyBorder="1"/>
    <xf numFmtId="165" fontId="5" fillId="0" borderId="55" xfId="0" applyNumberFormat="1" applyFont="1" applyFill="1" applyBorder="1" applyAlignment="1">
      <alignment horizontal="center" vertical="center"/>
    </xf>
    <xf numFmtId="0" fontId="5" fillId="0" borderId="55" xfId="0" applyFont="1" applyFill="1" applyBorder="1" applyAlignment="1">
      <alignment horizontal="center" vertical="center"/>
    </xf>
    <xf numFmtId="0" fontId="5" fillId="0" borderId="61" xfId="0" applyFont="1" applyFill="1" applyBorder="1" applyAlignment="1">
      <alignment horizontal="center" vertical="center"/>
    </xf>
    <xf numFmtId="0" fontId="5" fillId="0" borderId="63" xfId="0" applyFont="1" applyFill="1" applyBorder="1"/>
    <xf numFmtId="0" fontId="5" fillId="0" borderId="66" xfId="0" applyFont="1" applyFill="1" applyBorder="1"/>
    <xf numFmtId="0" fontId="15" fillId="5" borderId="67" xfId="0" applyFont="1" applyFill="1" applyBorder="1" applyAlignment="1">
      <alignment horizontal="center" vertical="center" textRotation="90"/>
    </xf>
    <xf numFmtId="0" fontId="15" fillId="5" borderId="71" xfId="0" applyFont="1" applyFill="1" applyBorder="1" applyAlignment="1">
      <alignment horizontal="center" vertical="center" textRotation="90"/>
    </xf>
    <xf numFmtId="0" fontId="15" fillId="5" borderId="74" xfId="0" applyFont="1" applyFill="1" applyBorder="1" applyAlignment="1">
      <alignment horizontal="center" vertical="center" textRotation="90"/>
    </xf>
    <xf numFmtId="0" fontId="15" fillId="6" borderId="68" xfId="0" applyFont="1" applyFill="1" applyBorder="1" applyAlignment="1">
      <alignment horizontal="center" vertical="top"/>
    </xf>
    <xf numFmtId="0" fontId="15" fillId="6" borderId="69" xfId="0" applyFont="1" applyFill="1" applyBorder="1" applyAlignment="1">
      <alignment horizontal="center" vertical="top"/>
    </xf>
    <xf numFmtId="0" fontId="15" fillId="6" borderId="70" xfId="0" applyFont="1" applyFill="1" applyBorder="1" applyAlignment="1">
      <alignment horizontal="center" vertical="top"/>
    </xf>
    <xf numFmtId="0" fontId="15" fillId="6" borderId="72" xfId="0" applyFont="1" applyFill="1" applyBorder="1" applyAlignment="1">
      <alignment horizontal="center" vertical="top"/>
    </xf>
    <xf numFmtId="0" fontId="15" fillId="6" borderId="0" xfId="0" applyFont="1" applyFill="1" applyBorder="1" applyAlignment="1">
      <alignment horizontal="center" vertical="top"/>
    </xf>
    <xf numFmtId="0" fontId="15" fillId="6" borderId="73" xfId="0" applyFont="1" applyFill="1" applyBorder="1" applyAlignment="1">
      <alignment horizontal="center" vertical="top"/>
    </xf>
    <xf numFmtId="0" fontId="15" fillId="6" borderId="75" xfId="0" applyFont="1" applyFill="1" applyBorder="1" applyAlignment="1">
      <alignment horizontal="center" vertical="top"/>
    </xf>
    <xf numFmtId="0" fontId="15" fillId="6" borderId="76" xfId="0" applyFont="1" applyFill="1" applyBorder="1" applyAlignment="1">
      <alignment horizontal="center" vertical="top"/>
    </xf>
    <xf numFmtId="0" fontId="15" fillId="6" borderId="77" xfId="0" applyFont="1" applyFill="1" applyBorder="1" applyAlignment="1">
      <alignment horizontal="center" vertical="top"/>
    </xf>
    <xf numFmtId="0" fontId="2" fillId="0" borderId="39" xfId="0" applyFont="1" applyFill="1" applyBorder="1" applyAlignment="1">
      <alignment horizontal="center" vertical="center"/>
    </xf>
    <xf numFmtId="0" fontId="5" fillId="0" borderId="36" xfId="0" applyFont="1" applyFill="1" applyBorder="1"/>
    <xf numFmtId="0" fontId="5" fillId="0" borderId="43" xfId="0" applyFont="1" applyFill="1" applyBorder="1"/>
    <xf numFmtId="2" fontId="5" fillId="0" borderId="55" xfId="0" applyNumberFormat="1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0" borderId="6" xfId="0" applyFont="1" applyBorder="1"/>
    <xf numFmtId="0" fontId="5" fillId="0" borderId="7" xfId="0" applyFont="1" applyBorder="1"/>
    <xf numFmtId="0" fontId="9" fillId="3" borderId="39" xfId="0" applyFont="1" applyFill="1" applyBorder="1" applyAlignment="1">
      <alignment horizontal="center" vertical="center" wrapText="1"/>
    </xf>
    <xf numFmtId="0" fontId="5" fillId="0" borderId="36" xfId="0" applyFont="1" applyBorder="1"/>
    <xf numFmtId="0" fontId="9" fillId="3" borderId="55" xfId="0" applyFont="1" applyFill="1" applyBorder="1" applyAlignment="1">
      <alignment horizontal="center" vertical="center" wrapText="1"/>
    </xf>
    <xf numFmtId="0" fontId="5" fillId="0" borderId="58" xfId="0" applyFont="1" applyBorder="1"/>
    <xf numFmtId="0" fontId="9" fillId="3" borderId="55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1" xfId="0" applyFont="1" applyBorder="1"/>
    <xf numFmtId="0" fontId="5" fillId="0" borderId="0" xfId="0" applyFont="1" applyBorder="1"/>
    <xf numFmtId="0" fontId="9" fillId="3" borderId="56" xfId="0" applyFont="1" applyFill="1" applyBorder="1" applyAlignment="1">
      <alignment horizontal="center" vertical="center" wrapText="1"/>
    </xf>
    <xf numFmtId="0" fontId="5" fillId="0" borderId="59" xfId="0" applyFont="1" applyBorder="1"/>
    <xf numFmtId="0" fontId="9" fillId="3" borderId="2" xfId="0" applyFont="1" applyFill="1" applyBorder="1" applyAlignment="1">
      <alignment horizontal="center" vertical="center" textRotation="90" wrapText="1"/>
    </xf>
    <xf numFmtId="0" fontId="5" fillId="0" borderId="53" xfId="0" applyFont="1" applyBorder="1"/>
    <xf numFmtId="0" fontId="5" fillId="0" borderId="5" xfId="0" applyFont="1" applyBorder="1"/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/>
    </xf>
    <xf numFmtId="0" fontId="5" fillId="4" borderId="53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5" fillId="4" borderId="0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/>
    </xf>
    <xf numFmtId="0" fontId="5" fillId="0" borderId="54" xfId="0" applyFont="1" applyBorder="1"/>
    <xf numFmtId="0" fontId="5" fillId="4" borderId="5" xfId="0" applyFont="1" applyFill="1" applyBorder="1" applyAlignment="1">
      <alignment horizontal="center" vertical="center" wrapText="1"/>
    </xf>
    <xf numFmtId="0" fontId="2" fillId="0" borderId="46" xfId="0" applyFont="1" applyFill="1" applyBorder="1" applyAlignment="1">
      <alignment horizontal="center" vertical="center" wrapText="1"/>
    </xf>
    <xf numFmtId="0" fontId="5" fillId="0" borderId="49" xfId="0" applyFont="1" applyFill="1" applyBorder="1"/>
    <xf numFmtId="0" fontId="2" fillId="0" borderId="25" xfId="0" applyFont="1" applyFill="1" applyBorder="1" applyAlignment="1">
      <alignment horizontal="center" vertical="center"/>
    </xf>
    <xf numFmtId="0" fontId="5" fillId="0" borderId="26" xfId="0" applyFont="1" applyFill="1" applyBorder="1"/>
    <xf numFmtId="0" fontId="2" fillId="0" borderId="25" xfId="0" applyFont="1" applyFill="1" applyBorder="1" applyAlignment="1">
      <alignment horizontal="center"/>
    </xf>
    <xf numFmtId="0" fontId="2" fillId="0" borderId="25" xfId="0" applyFont="1" applyFill="1" applyBorder="1" applyAlignment="1">
      <alignment horizontal="center" vertical="top"/>
    </xf>
    <xf numFmtId="0" fontId="6" fillId="0" borderId="25" xfId="0" applyFont="1" applyFill="1" applyBorder="1" applyAlignment="1">
      <alignment horizontal="center" vertical="center" wrapText="1"/>
    </xf>
    <xf numFmtId="0" fontId="7" fillId="0" borderId="52" xfId="0" applyFont="1" applyFill="1" applyBorder="1"/>
    <xf numFmtId="0" fontId="2" fillId="0" borderId="44" xfId="0" applyFont="1" applyFill="1" applyBorder="1" applyAlignment="1">
      <alignment horizontal="center" vertical="center"/>
    </xf>
    <xf numFmtId="0" fontId="2" fillId="0" borderId="46" xfId="0" applyFont="1" applyFill="1" applyBorder="1" applyAlignment="1">
      <alignment horizontal="center" vertical="center"/>
    </xf>
    <xf numFmtId="0" fontId="5" fillId="0" borderId="38" xfId="0" applyFont="1" applyFill="1" applyBorder="1"/>
    <xf numFmtId="0" fontId="2" fillId="0" borderId="46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 vertical="top"/>
    </xf>
    <xf numFmtId="0" fontId="5" fillId="0" borderId="17" xfId="0" applyFont="1" applyFill="1" applyBorder="1"/>
    <xf numFmtId="0" fontId="6" fillId="0" borderId="28" xfId="0" applyFont="1" applyFill="1" applyBorder="1" applyAlignment="1">
      <alignment horizontal="center"/>
    </xf>
    <xf numFmtId="0" fontId="7" fillId="0" borderId="28" xfId="0" applyFont="1" applyFill="1" applyBorder="1"/>
    <xf numFmtId="0" fontId="10" fillId="0" borderId="29" xfId="0" applyFont="1" applyFill="1" applyBorder="1" applyAlignment="1">
      <alignment horizontal="center"/>
    </xf>
    <xf numFmtId="0" fontId="7" fillId="0" borderId="30" xfId="0" applyFont="1" applyFill="1" applyBorder="1"/>
    <xf numFmtId="0" fontId="7" fillId="0" borderId="31" xfId="0" applyFont="1" applyFill="1" applyBorder="1"/>
    <xf numFmtId="0" fontId="10" fillId="0" borderId="32" xfId="0" applyFont="1" applyFill="1" applyBorder="1" applyAlignment="1">
      <alignment horizontal="center"/>
    </xf>
    <xf numFmtId="0" fontId="7" fillId="0" borderId="33" xfId="0" applyFont="1" applyFill="1" applyBorder="1"/>
    <xf numFmtId="0" fontId="9" fillId="3" borderId="35" xfId="0" applyFont="1" applyFill="1" applyBorder="1" applyAlignment="1">
      <alignment horizontal="center" vertical="center" wrapText="1"/>
    </xf>
    <xf numFmtId="0" fontId="5" fillId="0" borderId="42" xfId="0" applyFont="1" applyBorder="1"/>
    <xf numFmtId="0" fontId="5" fillId="0" borderId="50" xfId="0" applyFont="1" applyBorder="1"/>
    <xf numFmtId="0" fontId="11" fillId="0" borderId="36" xfId="0" applyFont="1" applyFill="1" applyBorder="1" applyAlignment="1">
      <alignment horizontal="center" vertical="center" wrapText="1"/>
    </xf>
    <xf numFmtId="0" fontId="2" fillId="0" borderId="37" xfId="0" applyFont="1" applyFill="1" applyBorder="1" applyAlignment="1">
      <alignment horizontal="center" vertical="center"/>
    </xf>
    <xf numFmtId="0" fontId="11" fillId="0" borderId="39" xfId="0" applyFont="1" applyFill="1" applyBorder="1" applyAlignment="1">
      <alignment horizontal="center" vertical="center" wrapText="1"/>
    </xf>
    <xf numFmtId="0" fontId="2" fillId="0" borderId="40" xfId="0" applyFont="1" applyFill="1" applyBorder="1" applyAlignment="1">
      <alignment horizontal="center" vertical="center"/>
    </xf>
    <xf numFmtId="0" fontId="6" fillId="0" borderId="41" xfId="0" applyFont="1" applyFill="1" applyBorder="1" applyAlignment="1">
      <alignment horizontal="center" vertical="center"/>
    </xf>
    <xf numFmtId="0" fontId="7" fillId="0" borderId="0" xfId="0" applyFont="1" applyFill="1" applyBorder="1"/>
    <xf numFmtId="0" fontId="7" fillId="0" borderId="3" xfId="0" applyFont="1" applyFill="1" applyBorder="1"/>
    <xf numFmtId="0" fontId="7" fillId="0" borderId="4" xfId="0" applyFont="1" applyFill="1" applyBorder="1"/>
    <xf numFmtId="0" fontId="7" fillId="0" borderId="45" xfId="0" applyFont="1" applyFill="1" applyBorder="1"/>
    <xf numFmtId="0" fontId="7" fillId="0" borderId="6" xfId="0" applyFont="1" applyFill="1" applyBorder="1"/>
    <xf numFmtId="0" fontId="7" fillId="0" borderId="7" xfId="0" applyFont="1" applyFill="1" applyBorder="1"/>
    <xf numFmtId="0" fontId="2" fillId="0" borderId="13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vertical="center"/>
    </xf>
    <xf numFmtId="0" fontId="6" fillId="0" borderId="15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vertical="center"/>
    </xf>
    <xf numFmtId="0" fontId="7" fillId="0" borderId="4" xfId="0" applyFont="1" applyFill="1" applyBorder="1" applyAlignment="1">
      <alignment vertical="center"/>
    </xf>
    <xf numFmtId="0" fontId="8" fillId="0" borderId="15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/>
    </xf>
    <xf numFmtId="0" fontId="2" fillId="0" borderId="19" xfId="0" applyFont="1" applyFill="1" applyBorder="1" applyAlignment="1">
      <alignment horizontal="center" vertical="center"/>
    </xf>
    <xf numFmtId="0" fontId="5" fillId="0" borderId="19" xfId="0" applyFont="1" applyFill="1" applyBorder="1"/>
    <xf numFmtId="0" fontId="2" fillId="0" borderId="20" xfId="0" applyFont="1" applyFill="1" applyBorder="1" applyAlignment="1">
      <alignment horizontal="center" vertical="center" wrapText="1"/>
    </xf>
    <xf numFmtId="0" fontId="5" fillId="0" borderId="21" xfId="0" applyFont="1" applyFill="1" applyBorder="1"/>
    <xf numFmtId="0" fontId="5" fillId="0" borderId="22" xfId="0" applyFont="1" applyFill="1" applyBorder="1"/>
    <xf numFmtId="0" fontId="2" fillId="0" borderId="19" xfId="0" applyFont="1" applyFill="1" applyBorder="1" applyAlignment="1">
      <alignment horizontal="center" vertical="center" wrapText="1"/>
    </xf>
    <xf numFmtId="0" fontId="5" fillId="0" borderId="23" xfId="0" applyFont="1" applyFill="1" applyBorder="1"/>
    <xf numFmtId="0" fontId="4" fillId="0" borderId="3" xfId="0" applyFont="1" applyBorder="1" applyAlignment="1">
      <alignment horizontal="center" wrapText="1"/>
    </xf>
    <xf numFmtId="14" fontId="6" fillId="0" borderId="9" xfId="0" applyNumberFormat="1" applyFont="1" applyFill="1" applyBorder="1" applyAlignment="1">
      <alignment horizontal="center" vertical="center"/>
    </xf>
    <xf numFmtId="0" fontId="7" fillId="0" borderId="10" xfId="0" applyFont="1" applyFill="1" applyBorder="1"/>
    <xf numFmtId="0" fontId="6" fillId="0" borderId="9" xfId="0" applyFont="1" applyBorder="1" applyAlignment="1">
      <alignment horizontal="center" vertical="center" wrapText="1"/>
    </xf>
    <xf numFmtId="0" fontId="7" fillId="0" borderId="10" xfId="0" applyFont="1" applyBorder="1"/>
    <xf numFmtId="0" fontId="7" fillId="0" borderId="12" xfId="0" applyFont="1" applyBorder="1"/>
    <xf numFmtId="0" fontId="0" fillId="0" borderId="76" xfId="0" applyBorder="1" applyAlignment="1">
      <alignment horizontal="center"/>
    </xf>
    <xf numFmtId="0" fontId="1" fillId="0" borderId="126" xfId="0" applyFont="1" applyFill="1" applyBorder="1" applyAlignment="1">
      <alignment horizontal="center" vertical="center"/>
    </xf>
    <xf numFmtId="0" fontId="1" fillId="0" borderId="127" xfId="0" applyFont="1" applyFill="1" applyBorder="1" applyAlignment="1">
      <alignment horizontal="center" vertical="center"/>
    </xf>
    <xf numFmtId="0" fontId="1" fillId="0" borderId="130" xfId="0" applyFont="1" applyFill="1" applyBorder="1" applyAlignment="1">
      <alignment horizontal="center" vertical="center"/>
    </xf>
    <xf numFmtId="0" fontId="0" fillId="0" borderId="134" xfId="0" applyFont="1" applyBorder="1" applyAlignment="1">
      <alignment horizontal="center" vertical="top" wrapText="1"/>
    </xf>
    <xf numFmtId="0" fontId="0" fillId="0" borderId="102" xfId="0" applyFont="1" applyBorder="1" applyAlignment="1">
      <alignment horizontal="center" vertical="top" wrapText="1"/>
    </xf>
    <xf numFmtId="0" fontId="0" fillId="0" borderId="135" xfId="0" applyFont="1" applyBorder="1" applyAlignment="1">
      <alignment horizontal="center" vertical="top" wrapText="1"/>
    </xf>
    <xf numFmtId="0" fontId="0" fillId="0" borderId="136" xfId="0" applyFont="1" applyBorder="1" applyAlignment="1">
      <alignment horizontal="center" vertical="top" wrapText="1"/>
    </xf>
    <xf numFmtId="0" fontId="0" fillId="0" borderId="137" xfId="0" applyFont="1" applyBorder="1" applyAlignment="1">
      <alignment horizontal="center" vertical="top" wrapText="1"/>
    </xf>
    <xf numFmtId="0" fontId="0" fillId="0" borderId="138" xfId="0" applyFont="1" applyBorder="1" applyAlignment="1">
      <alignment horizontal="center" vertical="top" wrapText="1"/>
    </xf>
    <xf numFmtId="0" fontId="0" fillId="0" borderId="67" xfId="0" applyFont="1" applyBorder="1" applyAlignment="1">
      <alignment horizontal="left" wrapText="1"/>
    </xf>
    <xf numFmtId="0" fontId="0" fillId="0" borderId="139" xfId="0" applyFont="1" applyBorder="1" applyAlignment="1">
      <alignment horizontal="left" wrapText="1"/>
    </xf>
    <xf numFmtId="0" fontId="0" fillId="0" borderId="113" xfId="0" applyFont="1" applyFill="1" applyBorder="1" applyAlignment="1">
      <alignment horizontal="left" vertical="center" wrapText="1"/>
    </xf>
    <xf numFmtId="0" fontId="0" fillId="0" borderId="114" xfId="0" applyFont="1" applyFill="1" applyBorder="1" applyAlignment="1">
      <alignment horizontal="left" vertical="center" wrapText="1"/>
    </xf>
    <xf numFmtId="0" fontId="17" fillId="9" borderId="132" xfId="0" applyFont="1" applyFill="1" applyBorder="1" applyAlignment="1">
      <alignment horizontal="left" vertical="top" wrapText="1"/>
    </xf>
    <xf numFmtId="0" fontId="17" fillId="9" borderId="133" xfId="0" applyFont="1" applyFill="1" applyBorder="1" applyAlignment="1">
      <alignment horizontal="left" vertical="top" wrapText="1"/>
    </xf>
    <xf numFmtId="0" fontId="17" fillId="9" borderId="96" xfId="0" applyFont="1" applyFill="1" applyBorder="1" applyAlignment="1">
      <alignment horizontal="left" vertical="top" wrapText="1"/>
    </xf>
    <xf numFmtId="0" fontId="17" fillId="9" borderId="99" xfId="0" applyFont="1" applyFill="1" applyBorder="1" applyAlignment="1">
      <alignment horizontal="left" vertical="top" wrapText="1"/>
    </xf>
    <xf numFmtId="0" fontId="17" fillId="9" borderId="132" xfId="0" applyFont="1" applyFill="1" applyBorder="1" applyAlignment="1">
      <alignment horizontal="center" vertical="center" wrapText="1"/>
    </xf>
    <xf numFmtId="0" fontId="17" fillId="9" borderId="96" xfId="0" applyFont="1" applyFill="1" applyBorder="1" applyAlignment="1">
      <alignment horizontal="center" vertical="center" wrapText="1"/>
    </xf>
    <xf numFmtId="0" fontId="17" fillId="9" borderId="117" xfId="0" applyFont="1" applyFill="1" applyBorder="1" applyAlignment="1">
      <alignment horizontal="center" vertical="top" wrapText="1"/>
    </xf>
    <xf numFmtId="0" fontId="17" fillId="9" borderId="79" xfId="0" applyFont="1" applyFill="1" applyBorder="1" applyAlignment="1">
      <alignment horizontal="center" vertical="top" wrapText="1"/>
    </xf>
    <xf numFmtId="0" fontId="24" fillId="0" borderId="131" xfId="0" applyFont="1" applyBorder="1" applyAlignment="1">
      <alignment horizontal="center" vertical="center" wrapText="1"/>
    </xf>
    <xf numFmtId="0" fontId="24" fillId="0" borderId="69" xfId="0" applyFont="1" applyBorder="1" applyAlignment="1">
      <alignment horizontal="center" vertical="center" wrapText="1"/>
    </xf>
    <xf numFmtId="0" fontId="24" fillId="0" borderId="110" xfId="0" applyFont="1" applyBorder="1" applyAlignment="1">
      <alignment horizontal="center" vertical="center" wrapText="1"/>
    </xf>
    <xf numFmtId="0" fontId="24" fillId="0" borderId="76" xfId="0" applyFont="1" applyBorder="1" applyAlignment="1">
      <alignment horizontal="center" vertical="center" wrapText="1"/>
    </xf>
    <xf numFmtId="0" fontId="25" fillId="0" borderId="70" xfId="0" applyFont="1" applyBorder="1" applyAlignment="1">
      <alignment horizontal="center" wrapText="1"/>
    </xf>
    <xf numFmtId="0" fontId="25" fillId="0" borderId="77" xfId="0" applyFont="1" applyBorder="1" applyAlignment="1">
      <alignment horizontal="center" wrapText="1"/>
    </xf>
    <xf numFmtId="0" fontId="24" fillId="0" borderId="69" xfId="0" applyFont="1" applyBorder="1" applyAlignment="1">
      <alignment horizontal="center" wrapText="1"/>
    </xf>
    <xf numFmtId="0" fontId="1" fillId="0" borderId="122" xfId="0" applyFont="1" applyFill="1" applyBorder="1" applyAlignment="1">
      <alignment horizontal="center"/>
    </xf>
    <xf numFmtId="0" fontId="1" fillId="0" borderId="123" xfId="0" applyFont="1" applyFill="1" applyBorder="1" applyAlignment="1">
      <alignment horizontal="center"/>
    </xf>
    <xf numFmtId="0" fontId="1" fillId="0" borderId="125" xfId="0" applyFont="1" applyFill="1" applyBorder="1" applyAlignment="1">
      <alignment horizontal="center"/>
    </xf>
    <xf numFmtId="0" fontId="15" fillId="5" borderId="137" xfId="0" applyFont="1" applyFill="1" applyBorder="1" applyAlignment="1">
      <alignment horizontal="center" vertical="center" textRotation="90"/>
    </xf>
    <xf numFmtId="0" fontId="15" fillId="5" borderId="116" xfId="0" applyFont="1" applyFill="1" applyBorder="1" applyAlignment="1">
      <alignment horizontal="center" vertical="center" textRotation="90"/>
    </xf>
    <xf numFmtId="0" fontId="15" fillId="6" borderId="106" xfId="0" applyFont="1" applyFill="1" applyBorder="1" applyAlignment="1">
      <alignment horizontal="center" vertical="top"/>
    </xf>
    <xf numFmtId="0" fontId="15" fillId="6" borderId="103" xfId="0" applyFont="1" applyFill="1" applyBorder="1" applyAlignment="1">
      <alignment horizontal="center" vertical="top"/>
    </xf>
    <xf numFmtId="0" fontId="15" fillId="6" borderId="105" xfId="0" applyFont="1" applyFill="1" applyBorder="1" applyAlignment="1">
      <alignment horizontal="center" vertical="top"/>
    </xf>
    <xf numFmtId="0" fontId="15" fillId="6" borderId="104" xfId="0" applyFont="1" applyFill="1" applyBorder="1" applyAlignment="1">
      <alignment horizontal="center" vertical="top"/>
    </xf>
    <xf numFmtId="0" fontId="15" fillId="6" borderId="108" xfId="0" applyFont="1" applyFill="1" applyBorder="1" applyAlignment="1">
      <alignment horizontal="center" vertical="top"/>
    </xf>
    <xf numFmtId="0" fontId="0" fillId="0" borderId="131" xfId="0" applyFont="1" applyBorder="1" applyAlignment="1">
      <alignment horizontal="center"/>
    </xf>
    <xf numFmtId="0" fontId="0" fillId="0" borderId="69" xfId="0" applyFont="1" applyBorder="1" applyAlignment="1">
      <alignment horizontal="center"/>
    </xf>
    <xf numFmtId="0" fontId="0" fillId="0" borderId="70" xfId="0" applyFont="1" applyBorder="1" applyAlignment="1">
      <alignment horizontal="center"/>
    </xf>
    <xf numFmtId="0" fontId="25" fillId="0" borderId="131" xfId="0" applyFont="1" applyBorder="1" applyAlignment="1">
      <alignment horizontal="center" wrapText="1"/>
    </xf>
    <xf numFmtId="0" fontId="0" fillId="0" borderId="110" xfId="0" applyFont="1" applyBorder="1" applyAlignment="1">
      <alignment horizontal="center"/>
    </xf>
    <xf numFmtId="0" fontId="0" fillId="0" borderId="76" xfId="0" applyFont="1" applyBorder="1" applyAlignment="1">
      <alignment horizontal="center"/>
    </xf>
    <xf numFmtId="0" fontId="0" fillId="0" borderId="77" xfId="0" applyFont="1" applyBorder="1" applyAlignment="1">
      <alignment horizontal="center"/>
    </xf>
    <xf numFmtId="0" fontId="25" fillId="0" borderId="110" xfId="0" applyFont="1" applyBorder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7" Type="http://schemas.openxmlformats.org/officeDocument/2006/relationships/image" Target="../media/image10.pn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9.png"/><Relationship Id="rId5" Type="http://schemas.openxmlformats.org/officeDocument/2006/relationships/image" Target="../media/image8.jpeg"/><Relationship Id="rId4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2" Type="http://schemas.openxmlformats.org/officeDocument/2006/relationships/image" Target="../media/image12.jpeg"/><Relationship Id="rId1" Type="http://schemas.openxmlformats.org/officeDocument/2006/relationships/image" Target="../media/image11.jpe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1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16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jpeg"/><Relationship Id="rId7" Type="http://schemas.openxmlformats.org/officeDocument/2006/relationships/image" Target="../media/image10.png"/><Relationship Id="rId2" Type="http://schemas.openxmlformats.org/officeDocument/2006/relationships/image" Target="../media/image12.jpeg"/><Relationship Id="rId1" Type="http://schemas.openxmlformats.org/officeDocument/2006/relationships/image" Target="../media/image11.jpeg"/><Relationship Id="rId6" Type="http://schemas.openxmlformats.org/officeDocument/2006/relationships/image" Target="../media/image9.png"/><Relationship Id="rId5" Type="http://schemas.openxmlformats.org/officeDocument/2006/relationships/image" Target="../media/image19.jpeg"/><Relationship Id="rId4" Type="http://schemas.openxmlformats.org/officeDocument/2006/relationships/image" Target="../media/image1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9</xdr:col>
      <xdr:colOff>0</xdr:colOff>
      <xdr:row>21</xdr:row>
      <xdr:rowOff>0</xdr:rowOff>
    </xdr:to>
    <xdr:pic>
      <xdr:nvPicPr>
        <xdr:cNvPr id="4" name="Imagen 3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5" y="466725"/>
          <a:ext cx="5334000" cy="3429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9</xdr:col>
      <xdr:colOff>0</xdr:colOff>
      <xdr:row>44</xdr:row>
      <xdr:rowOff>0</xdr:rowOff>
    </xdr:to>
    <xdr:pic>
      <xdr:nvPicPr>
        <xdr:cNvPr id="5" name="Imagen 4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7725" y="4448175"/>
          <a:ext cx="5334000" cy="3619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478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69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1298363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3676650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202596</xdr:colOff>
      <xdr:row>85</xdr:row>
      <xdr:rowOff>158750</xdr:rowOff>
    </xdr:from>
    <xdr:to>
      <xdr:col>5</xdr:col>
      <xdr:colOff>462492</xdr:colOff>
      <xdr:row>91</xdr:row>
      <xdr:rowOff>5369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212121" y="16351250"/>
          <a:ext cx="3041196" cy="179924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269119</xdr:colOff>
      <xdr:row>86</xdr:row>
      <xdr:rowOff>22678</xdr:rowOff>
    </xdr:from>
    <xdr:to>
      <xdr:col>10</xdr:col>
      <xdr:colOff>418704</xdr:colOff>
      <xdr:row>91</xdr:row>
      <xdr:rowOff>59797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774319" y="16405678"/>
          <a:ext cx="3007085" cy="179924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oneCellAnchor>
    <xdr:from>
      <xdr:col>1</xdr:col>
      <xdr:colOff>314324</xdr:colOff>
      <xdr:row>94</xdr:row>
      <xdr:rowOff>252815</xdr:rowOff>
    </xdr:from>
    <xdr:ext cx="2790825" cy="1569839"/>
    <xdr:pic>
      <xdr:nvPicPr>
        <xdr:cNvPr id="8" name="22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49" y="19074215"/>
          <a:ext cx="2790825" cy="1569839"/>
        </a:xfrm>
        <a:prstGeom prst="rect">
          <a:avLst/>
        </a:prstGeom>
      </xdr:spPr>
    </xdr:pic>
    <xdr:clientData/>
  </xdr:oneCellAnchor>
  <xdr:oneCellAnchor>
    <xdr:from>
      <xdr:col>6</xdr:col>
      <xdr:colOff>371475</xdr:colOff>
      <xdr:row>94</xdr:row>
      <xdr:rowOff>224240</xdr:rowOff>
    </xdr:from>
    <xdr:ext cx="2790825" cy="1569839"/>
    <xdr:pic>
      <xdr:nvPicPr>
        <xdr:cNvPr id="9" name="29 Imagen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675" y="19045640"/>
          <a:ext cx="2790825" cy="1569839"/>
        </a:xfrm>
        <a:prstGeom prst="rect">
          <a:avLst/>
        </a:prstGeom>
      </xdr:spPr>
    </xdr:pic>
    <xdr:clientData/>
  </xdr:oneCellAnchor>
  <xdr:oneCellAnchor>
    <xdr:from>
      <xdr:col>12</xdr:col>
      <xdr:colOff>362841</xdr:colOff>
      <xdr:row>94</xdr:row>
      <xdr:rowOff>76200</xdr:rowOff>
    </xdr:from>
    <xdr:ext cx="1569839" cy="1895475"/>
    <xdr:pic>
      <xdr:nvPicPr>
        <xdr:cNvPr id="10" name="30 Imagen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7991473" y="19060418"/>
          <a:ext cx="1895475" cy="1569839"/>
        </a:xfrm>
        <a:prstGeom prst="rect">
          <a:avLst/>
        </a:prstGeom>
      </xdr:spPr>
    </xdr:pic>
    <xdr:clientData/>
  </xdr:oneCellAnchor>
  <xdr:oneCellAnchor>
    <xdr:from>
      <xdr:col>4</xdr:col>
      <xdr:colOff>707523</xdr:colOff>
      <xdr:row>63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2032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1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203227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66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32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2568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32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256873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66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2521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252104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66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2592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4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259218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66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2561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5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256153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66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2588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6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258845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63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2000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7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200070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63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1985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8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198551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6</xdr:col>
      <xdr:colOff>573283</xdr:colOff>
      <xdr:row>68</xdr:row>
      <xdr:rowOff>152400</xdr:rowOff>
    </xdr:from>
    <xdr:ext cx="153866" cy="1785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CuadroTexto 24">
              <a:extLst>
                <a:ext uri="{FF2B5EF4-FFF2-40B4-BE49-F238E27FC236}">
                  <a16:creationId xmlns:a16="http://schemas.microsoft.com/office/drawing/2014/main" id="{383907B5-7C0E-4BCF-BD7F-B5A6392A02A3}"/>
                </a:ext>
              </a:extLst>
            </xdr:cNvPr>
            <xdr:cNvSpPr txBox="1"/>
          </xdr:nvSpPr>
          <xdr:spPr>
            <a:xfrm>
              <a:off x="4078483" y="12954000"/>
              <a:ext cx="153866" cy="1785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00" b="1" i="1" baseline="0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00" b="1" i="0" baseline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CO" sz="1000" b="1" i="0" baseline="0">
                <a:latin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9" name="CuadroTexto 24">
              <a:extLst>
                <a:ext uri="{FF2B5EF4-FFF2-40B4-BE49-F238E27FC236}">
                  <a16:creationId xmlns:a16="http://schemas.microsoft.com/office/drawing/2014/main" id="{383907B5-7C0E-4BCF-BD7F-B5A6392A02A3}"/>
                </a:ext>
              </a:extLst>
            </xdr:cNvPr>
            <xdr:cNvSpPr txBox="1"/>
          </xdr:nvSpPr>
          <xdr:spPr>
            <a:xfrm>
              <a:off x="4078483" y="12954000"/>
              <a:ext cx="153866" cy="1785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000" b="1" i="0" baseline="0">
                  <a:latin typeface="Cambria Math" panose="02040503050406030204" pitchFamily="18" charset="0"/>
                </a:rPr>
                <a:t>¯𝐕𝐢</a:t>
              </a:r>
              <a:endParaRPr lang="es-CO" sz="1000" b="1" i="0" baseline="0">
                <a:latin typeface="Calibri" panose="020F0502020204030204" pitchFamily="34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63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2079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0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207942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250453</xdr:colOff>
      <xdr:row>1</xdr:row>
      <xdr:rowOff>15062</xdr:rowOff>
    </xdr:from>
    <xdr:to>
      <xdr:col>3</xdr:col>
      <xdr:colOff>393328</xdr:colOff>
      <xdr:row>2</xdr:row>
      <xdr:rowOff>242545</xdr:rowOff>
    </xdr:to>
    <xdr:pic>
      <xdr:nvPicPr>
        <xdr:cNvPr id="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61659" y="71091"/>
          <a:ext cx="1498787" cy="60848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386236</xdr:colOff>
      <xdr:row>1</xdr:row>
      <xdr:rowOff>38100</xdr:rowOff>
    </xdr:from>
    <xdr:to>
      <xdr:col>15</xdr:col>
      <xdr:colOff>342138</xdr:colOff>
      <xdr:row>2</xdr:row>
      <xdr:rowOff>219075</xdr:rowOff>
    </xdr:to>
    <xdr:pic>
      <xdr:nvPicPr>
        <xdr:cNvPr id="22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42295" y="94129"/>
          <a:ext cx="673078" cy="5619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545205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74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13907559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374332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195792</xdr:colOff>
      <xdr:row>91</xdr:row>
      <xdr:rowOff>0</xdr:rowOff>
    </xdr:from>
    <xdr:to>
      <xdr:col>5</xdr:col>
      <xdr:colOff>455688</xdr:colOff>
      <xdr:row>96</xdr:row>
      <xdr:rowOff>32583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05317" y="17268825"/>
          <a:ext cx="3041196" cy="1794708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296333</xdr:colOff>
      <xdr:row>90</xdr:row>
      <xdr:rowOff>127000</xdr:rowOff>
    </xdr:from>
    <xdr:to>
      <xdr:col>10</xdr:col>
      <xdr:colOff>445918</xdr:colOff>
      <xdr:row>95</xdr:row>
      <xdr:rowOff>175458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801533" y="17205325"/>
          <a:ext cx="3007085" cy="1801058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557509</xdr:colOff>
      <xdr:row>99</xdr:row>
      <xdr:rowOff>105832</xdr:rowOff>
    </xdr:from>
    <xdr:to>
      <xdr:col>7</xdr:col>
      <xdr:colOff>127000</xdr:colOff>
      <xdr:row>99</xdr:row>
      <xdr:rowOff>2203887</xdr:rowOff>
    </xdr:to>
    <xdr:pic>
      <xdr:nvPicPr>
        <xdr:cNvPr id="8" name="22 Imagen"/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05209" y="20022607"/>
          <a:ext cx="3141366" cy="2098055"/>
        </a:xfrm>
        <a:prstGeom prst="rect">
          <a:avLst/>
        </a:prstGeom>
      </xdr:spPr>
    </xdr:pic>
    <xdr:clientData/>
  </xdr:twoCellAnchor>
  <xdr:twoCellAnchor editAs="oneCell">
    <xdr:from>
      <xdr:col>9</xdr:col>
      <xdr:colOff>550333</xdr:colOff>
      <xdr:row>99</xdr:row>
      <xdr:rowOff>158749</xdr:rowOff>
    </xdr:from>
    <xdr:to>
      <xdr:col>14</xdr:col>
      <xdr:colOff>127000</xdr:colOff>
      <xdr:row>99</xdr:row>
      <xdr:rowOff>2236832</xdr:rowOff>
    </xdr:to>
    <xdr:pic>
      <xdr:nvPicPr>
        <xdr:cNvPr id="9" name="29 Imagen"/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198658" y="20075524"/>
          <a:ext cx="3148542" cy="2078083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68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2956195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0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2956195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71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3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3492657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1" name="3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3492657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71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3444969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3444969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71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3516106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3516106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71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3485464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4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3485464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71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3512382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5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3512382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68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2924626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6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2924626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68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2909441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7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2909441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6</xdr:col>
      <xdr:colOff>573283</xdr:colOff>
      <xdr:row>73</xdr:row>
      <xdr:rowOff>152400</xdr:rowOff>
    </xdr:from>
    <xdr:ext cx="153866" cy="1785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4">
              <a:extLst>
                <a:ext uri="{FF2B5EF4-FFF2-40B4-BE49-F238E27FC236}">
                  <a16:creationId xmlns:a16="http://schemas.microsoft.com/office/drawing/2014/main" id="{383907B5-7C0E-4BCF-BD7F-B5A6392A02A3}"/>
                </a:ext>
              </a:extLst>
            </xdr:cNvPr>
            <xdr:cNvSpPr txBox="1"/>
          </xdr:nvSpPr>
          <xdr:spPr>
            <a:xfrm>
              <a:off x="4078483" y="13877925"/>
              <a:ext cx="153866" cy="1785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00" b="1" i="1" baseline="0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00" b="1" i="0" baseline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CO" sz="1000" b="1" i="0" baseline="0">
                <a:latin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8" name="CuadroTexto 24">
              <a:extLst>
                <a:ext uri="{FF2B5EF4-FFF2-40B4-BE49-F238E27FC236}">
                  <a16:creationId xmlns:a16="http://schemas.microsoft.com/office/drawing/2014/main" id="{383907B5-7C0E-4BCF-BD7F-B5A6392A02A3}"/>
                </a:ext>
              </a:extLst>
            </xdr:cNvPr>
            <xdr:cNvSpPr txBox="1"/>
          </xdr:nvSpPr>
          <xdr:spPr>
            <a:xfrm>
              <a:off x="4078483" y="13877925"/>
              <a:ext cx="153866" cy="1785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000" b="1" i="0" baseline="0">
                  <a:latin typeface="Cambria Math" panose="02040503050406030204" pitchFamily="18" charset="0"/>
                </a:rPr>
                <a:t>¯𝐕𝐢</a:t>
              </a:r>
              <a:endParaRPr lang="es-CO" sz="1000" b="1" i="0" baseline="0">
                <a:latin typeface="Calibri" panose="020F0502020204030204" pitchFamily="34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68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3003353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3003353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250453</xdr:colOff>
      <xdr:row>1</xdr:row>
      <xdr:rowOff>15062</xdr:rowOff>
    </xdr:from>
    <xdr:to>
      <xdr:col>3</xdr:col>
      <xdr:colOff>393328</xdr:colOff>
      <xdr:row>2</xdr:row>
      <xdr:rowOff>242545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59978" y="72212"/>
          <a:ext cx="1495425" cy="60848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386236</xdr:colOff>
      <xdr:row>1</xdr:row>
      <xdr:rowOff>38100</xdr:rowOff>
    </xdr:from>
    <xdr:to>
      <xdr:col>15</xdr:col>
      <xdr:colOff>342138</xdr:colOff>
      <xdr:row>2</xdr:row>
      <xdr:rowOff>219075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9606436" y="95250"/>
          <a:ext cx="670277" cy="5619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478530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117141</xdr:colOff>
      <xdr:row>74</xdr:row>
      <xdr:rowOff>10584</xdr:rowOff>
    </xdr:from>
    <xdr:ext cx="153866" cy="178575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1384088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4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3676650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148167</xdr:colOff>
      <xdr:row>90</xdr:row>
      <xdr:rowOff>123031</xdr:rowOff>
    </xdr:from>
    <xdr:to>
      <xdr:col>5</xdr:col>
      <xdr:colOff>408063</xdr:colOff>
      <xdr:row>95</xdr:row>
      <xdr:rowOff>175458</xdr:rowOff>
    </xdr:to>
    <xdr:pic>
      <xdr:nvPicPr>
        <xdr:cNvPr id="5" name="Imagen 24"/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6" r="1269"/>
        <a:stretch/>
      </xdr:blipFill>
      <xdr:spPr>
        <a:xfrm>
          <a:off x="157692" y="17172781"/>
          <a:ext cx="3041196" cy="1805027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332052</xdr:colOff>
      <xdr:row>90</xdr:row>
      <xdr:rowOff>123031</xdr:rowOff>
    </xdr:from>
    <xdr:to>
      <xdr:col>10</xdr:col>
      <xdr:colOff>481637</xdr:colOff>
      <xdr:row>95</xdr:row>
      <xdr:rowOff>175458</xdr:rowOff>
    </xdr:to>
    <xdr:pic>
      <xdr:nvPicPr>
        <xdr:cNvPr id="6" name="Imagen 2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7" r="1176"/>
        <a:stretch/>
      </xdr:blipFill>
      <xdr:spPr>
        <a:xfrm>
          <a:off x="3837252" y="17172781"/>
          <a:ext cx="3007085" cy="1805027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10</xdr:col>
      <xdr:colOff>114300</xdr:colOff>
      <xdr:row>99</xdr:row>
      <xdr:rowOff>57150</xdr:rowOff>
    </xdr:from>
    <xdr:to>
      <xdr:col>14</xdr:col>
      <xdr:colOff>96600</xdr:colOff>
      <xdr:row>99</xdr:row>
      <xdr:rowOff>2244150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19735800"/>
          <a:ext cx="2839800" cy="2187000"/>
        </a:xfrm>
        <a:prstGeom prst="rect">
          <a:avLst/>
        </a:prstGeom>
      </xdr:spPr>
    </xdr:pic>
    <xdr:clientData/>
  </xdr:twoCellAnchor>
  <xdr:twoCellAnchor editAs="oneCell">
    <xdr:from>
      <xdr:col>3</xdr:col>
      <xdr:colOff>188100</xdr:colOff>
      <xdr:row>99</xdr:row>
      <xdr:rowOff>45225</xdr:rowOff>
    </xdr:from>
    <xdr:to>
      <xdr:col>5</xdr:col>
      <xdr:colOff>377250</xdr:colOff>
      <xdr:row>99</xdr:row>
      <xdr:rowOff>2253225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175" y="19723875"/>
          <a:ext cx="1617900" cy="2208000"/>
        </a:xfrm>
        <a:prstGeom prst="rect">
          <a:avLst/>
        </a:prstGeom>
      </xdr:spPr>
    </xdr:pic>
    <xdr:clientData/>
  </xdr:twoCellAnchor>
  <xdr:oneCellAnchor>
    <xdr:from>
      <xdr:col>4</xdr:col>
      <xdr:colOff>707523</xdr:colOff>
      <xdr:row>68</xdr:row>
      <xdr:rowOff>87920</xdr:rowOff>
    </xdr:from>
    <xdr:ext cx="1519198" cy="30251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2889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  <m:r>
                      <a:rPr lang="es-CO" sz="1050" b="1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𝟐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𝟐</m:t>
                        </m:r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∗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𝟒</m:t>
                            </m:r>
                          </m:sub>
                        </m:sSub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𝟎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.</m:t>
                            </m:r>
                            <m:r>
                              <a:rPr lang="es-CO" sz="1050" b="1" i="0">
                                <a:latin typeface="Cambria Math" panose="02040503050406030204" pitchFamily="18" charset="0"/>
                              </a:rPr>
                              <m:t>𝟖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latin typeface="Cambria Math" panose="02040503050406030204" pitchFamily="18" charset="0"/>
                          </a:rPr>
                          <m:t>𝟒</m:t>
                        </m:r>
                      </m:den>
                    </m:f>
                  </m:oMath>
                </m:oMathPara>
              </a14:m>
              <a:endParaRPr lang="es-CO" sz="1050" b="1" i="0"/>
            </a:p>
          </xdr:txBody>
        </xdr:sp>
      </mc:Choice>
      <mc:Fallback xmlns="">
        <xdr:sp macro="" textlink="">
          <xdr:nvSpPr>
            <xdr:cNvPr id="10" name="CuadroTexto 15">
              <a:extLst>
                <a:ext uri="{FF2B5EF4-FFF2-40B4-BE49-F238E27FC236}">
                  <a16:creationId xmlns:a16="http://schemas.microsoft.com/office/drawing/2014/main" id="{14D38863-A958-44A1-BF80-1962F5ABE349}"/>
                </a:ext>
              </a:extLst>
            </xdr:cNvPr>
            <xdr:cNvSpPr txBox="1"/>
          </xdr:nvSpPr>
          <xdr:spPr>
            <a:xfrm>
              <a:off x="2783973" y="12889520"/>
              <a:ext cx="1519198" cy="3025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latin typeface="Cambria Math" panose="02040503050406030204" pitchFamily="18" charset="0"/>
                </a:rPr>
                <a:t>¯𝐕𝐢=(𝐕_(𝟎.𝟐)+𝟐∗𝐕_(𝟎.𝟒)+𝐕_(𝟎.𝟖))/𝟒</a:t>
              </a:r>
              <a:endParaRPr lang="es-CO" sz="1050" b="1" i="0"/>
            </a:p>
          </xdr:txBody>
        </xdr:sp>
      </mc:Fallback>
    </mc:AlternateContent>
    <xdr:clientData/>
  </xdr:oneCellAnchor>
  <xdr:oneCellAnchor>
    <xdr:from>
      <xdr:col>4</xdr:col>
      <xdr:colOff>455076</xdr:colOff>
      <xdr:row>71</xdr:row>
      <xdr:rowOff>110032</xdr:rowOff>
    </xdr:from>
    <xdr:ext cx="4086888" cy="3086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3425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𝟐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𝟑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𝟒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𝟓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.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𝟔</m:t>
                            </m:r>
                          </m:sub>
                        </m:sSub>
                        <m:r>
                          <a:rPr lang="es-ES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ES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𝟕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𝟖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s-ES" sz="1050" b="1" i="1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𝐕</m:t>
                                </m:r>
                              </m:e>
                              <m:sub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𝟎</m:t>
                                </m:r>
                                <m:r>
                                  <a:rPr lang="es-ES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.</m:t>
                                </m:r>
                                <m:r>
                                  <a:rPr lang="es-CO" sz="1050" b="1" i="0">
                                    <a:solidFill>
                                      <a:sysClr val="windowText" lastClr="000000"/>
                                    </a:solidFill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𝟗</m:t>
                                </m:r>
                              </m:sub>
                            </m:sSub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ES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𝐕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𝐬𝐮𝐩𝐟</m:t>
                            </m:r>
                            <m:r>
                              <a:rPr lang="es-CO" sz="1050" b="1" i="0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den>
                    </m:f>
                    <m:r>
                      <a:rPr lang="es-ES" sz="1050" b="1" i="0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ysClr val="windowText" lastClr="000000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1" name="29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2531526" y="13425982"/>
              <a:ext cx="4086888" cy="3086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05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=(𝐕_(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𝟐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)+𝐕_(𝟎.𝟒)+𝐕_(𝟎.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𝟔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)+〖𝐕_(𝟎.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𝟕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)+𝐕_(𝟎.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𝟗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)+𝐕〗_(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𝐬𝐮𝐩𝐟 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))/</a:t>
              </a:r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s-ES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</a:p>
          </xdr:txBody>
        </xdr:sp>
      </mc:Fallback>
    </mc:AlternateContent>
    <xdr:clientData/>
  </xdr:oneCellAnchor>
  <xdr:oneCellAnchor>
    <xdr:from>
      <xdr:col>10</xdr:col>
      <xdr:colOff>342110</xdr:colOff>
      <xdr:row>71</xdr:row>
      <xdr:rowOff>62344</xdr:rowOff>
    </xdr:from>
    <xdr:ext cx="1313516" cy="3550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3378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(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sSub>
                          <m:sSubPr>
                            <m:ctrlPr>
                              <a:rPr lang="es-CO" sz="105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𝐡</m:t>
                            </m:r>
                          </m:e>
                          <m:sub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𝐢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s-CO" sz="1050" b="1" i="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)</m:t>
                        </m:r>
                        <m:r>
                          <a:rPr lang="es-ES" sz="1050" b="1" i="0">
                            <a:solidFill>
                              <a:schemeClr val="tx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  <m:t>∗</m:t>
                        </m:r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𝐛</m:t>
                        </m:r>
                      </m:num>
                      <m:den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den>
                    </m:f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2" name="20 CuadroTexto">
              <a:extLst>
                <a:ext uri="{FF2B5EF4-FFF2-40B4-BE49-F238E27FC236}">
                  <a16:creationId xmlns:a16="http://schemas.microsoft.com/office/drawing/2014/main" id="{B890F03E-4165-4DE0-9AFB-4A22B6951804}"/>
                </a:ext>
              </a:extLst>
            </xdr:cNvPr>
            <xdr:cNvSpPr txBox="1"/>
          </xdr:nvSpPr>
          <xdr:spPr>
            <a:xfrm>
              <a:off x="6704810" y="13378294"/>
              <a:ext cx="1313516" cy="3550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𝐀𝐢=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(〖(𝐡〗_𝐢+𝐡_(𝐢+𝟏 ))</a:t>
              </a:r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𝐛)/𝟐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14</xdr:col>
      <xdr:colOff>263225</xdr:colOff>
      <xdr:row>71</xdr:row>
      <xdr:rowOff>133481</xdr:rowOff>
    </xdr:from>
    <xdr:ext cx="1059883" cy="279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3449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𝐐𝐢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=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𝐀𝐢</m:t>
                    </m:r>
                    <m:r>
                      <a:rPr lang="es-ES" sz="1050" b="1" i="0">
                        <a:solidFill>
                          <a:schemeClr val="tx1"/>
                        </a:solidFill>
                        <a:effectLst/>
                        <a:latin typeface="Cambria Math"/>
                        <a:ea typeface="+mn-ea"/>
                        <a:cs typeface="+mn-cs"/>
                      </a:rPr>
                      <m:t>∗</m:t>
                    </m:r>
                    <m:bar>
                      <m:barPr>
                        <m:pos m:val="top"/>
                        <m:ctrlPr>
                          <a:rPr lang="es-CO" sz="105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barPr>
                      <m:e>
                        <m:r>
                          <a:rPr lang="es-CO" sz="1050" b="1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3" name="19 CuadroTexto">
              <a:extLst>
                <a:ext uri="{FF2B5EF4-FFF2-40B4-BE49-F238E27FC236}">
                  <a16:creationId xmlns:a16="http://schemas.microsoft.com/office/drawing/2014/main" id="{4B78248E-C7BB-4DE6-B215-EE8384164C2D}"/>
                </a:ext>
              </a:extLst>
            </xdr:cNvPr>
            <xdr:cNvSpPr txBox="1"/>
          </xdr:nvSpPr>
          <xdr:spPr>
            <a:xfrm>
              <a:off x="9483425" y="13449431"/>
              <a:ext cx="1059883" cy="2798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s-ES" sz="1050" b="1" i="0">
                  <a:solidFill>
                    <a:schemeClr val="tx1"/>
                  </a:solidFill>
                  <a:effectLst/>
                  <a:latin typeface="Cambria Math"/>
                  <a:ea typeface="+mn-ea"/>
                  <a:cs typeface="+mn-cs"/>
                </a:rPr>
                <a:t>𝐐𝐢=𝐀𝐢∗</a:t>
              </a:r>
              <a:r>
                <a:rPr lang="es-CO" sz="105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¯𝐕𝐢</a:t>
              </a:r>
              <a:endParaRPr lang="es-ES" sz="1050" b="1" i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2</xdr:col>
      <xdr:colOff>311720</xdr:colOff>
      <xdr:row>71</xdr:row>
      <xdr:rowOff>102839</xdr:rowOff>
    </xdr:from>
    <xdr:ext cx="1058367" cy="3283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3418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𝐐</m:t>
                    </m:r>
                    <m:d>
                      <m:dPr>
                        <m:begChr m:val="["/>
                        <m:endChr m:val="]"/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%</m:t>
                        </m:r>
                      </m:e>
                    </m:d>
                    <m:r>
                      <a:rPr lang="es-CO" sz="1050" b="1" i="0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CO" sz="1050" b="1" i="1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𝐐𝐢</m:t>
                        </m:r>
                      </m:num>
                      <m:den>
                        <m:r>
                          <a:rPr lang="es-CO" sz="1050" b="1" i="0" u="none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𝐐𝐭</m:t>
                        </m:r>
                      </m:den>
                    </m:f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r>
                      <a:rPr lang="es-CO" sz="1050" b="1" i="1" u="none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𝟏𝟎𝟎</m:t>
                    </m:r>
                  </m:oMath>
                </m:oMathPara>
              </a14:m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4" name="CuadroTexto 19">
              <a:extLst>
                <a:ext uri="{FF2B5EF4-FFF2-40B4-BE49-F238E27FC236}">
                  <a16:creationId xmlns:a16="http://schemas.microsoft.com/office/drawing/2014/main" id="{756197F7-E6FE-49DD-AEE2-CFBBF99A9C66}"/>
                </a:ext>
              </a:extLst>
            </xdr:cNvPr>
            <xdr:cNvSpPr txBox="1"/>
          </xdr:nvSpPr>
          <xdr:spPr>
            <a:xfrm>
              <a:off x="959420" y="13418789"/>
              <a:ext cx="1058367" cy="3283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 u="none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𝐐[%]=  𝐐𝐢/𝐐𝐭∗𝟏𝟎𝟎</a:t>
              </a:r>
              <a:endParaRPr lang="es-CO" sz="1050" b="1" i="0" u="none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12</xdr:col>
      <xdr:colOff>436291</xdr:colOff>
      <xdr:row>71</xdr:row>
      <xdr:rowOff>129757</xdr:rowOff>
    </xdr:from>
    <xdr:ext cx="907300" cy="3179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3445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𝑽𝒎𝒆𝒅𝒊𝒂</m:t>
                    </m:r>
                    <m:r>
                      <a:rPr lang="es-CO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𝑸𝒕</m:t>
                        </m:r>
                      </m:num>
                      <m:den>
                        <m:r>
                          <a:rPr lang="es-CO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𝑨𝒊</m:t>
                        </m:r>
                      </m:den>
                    </m:f>
                  </m:oMath>
                </m:oMathPara>
              </a14:m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5" name="CuadroTexto 20">
              <a:extLst>
                <a:ext uri="{FF2B5EF4-FFF2-40B4-BE49-F238E27FC236}">
                  <a16:creationId xmlns:a16="http://schemas.microsoft.com/office/drawing/2014/main" id="{E35B2A1D-33C4-4A4B-A9DE-2E22C5485924}"/>
                </a:ext>
              </a:extLst>
            </xdr:cNvPr>
            <xdr:cNvSpPr txBox="1"/>
          </xdr:nvSpPr>
          <xdr:spPr>
            <a:xfrm>
              <a:off x="8227741" y="13445707"/>
              <a:ext cx="907300" cy="3179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indent="0"/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𝑽𝒎𝒆𝒅𝒊𝒂=𝑸𝒕/𝑨𝒊</a:t>
              </a:r>
              <a:endParaRPr lang="es-CO" sz="1100" b="1" i="1">
                <a:solidFill>
                  <a:schemeClr val="tx1"/>
                </a:solidFill>
                <a:effectLst/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8</xdr:col>
      <xdr:colOff>56087</xdr:colOff>
      <xdr:row>68</xdr:row>
      <xdr:rowOff>56351</xdr:rowOff>
    </xdr:from>
    <xdr:ext cx="1322606" cy="3424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2857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𝒇𝒕</m:t>
                            </m:r>
                          </m:num>
                          <m:den>
                            <m:r>
                              <a:rPr lang="es-CO" sz="1000" b="1" i="1">
                                <a:latin typeface="Cambria Math" panose="02040503050406030204" pitchFamily="18" charset="0"/>
                              </a:rPr>
                              <m:t>𝒔</m:t>
                            </m:r>
                          </m:den>
                        </m:f>
                      </m:e>
                    </m:d>
                    <m:r>
                      <a:rPr lang="es-CO" sz="10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𝟑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,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𝟐𝟖</m:t>
                    </m:r>
                    <m:r>
                      <a:rPr lang="es-CO" sz="1000" b="1" i="1">
                        <a:latin typeface="Cambria Math" panose="02040503050406030204" pitchFamily="18" charset="0"/>
                      </a:rPr>
                      <m:t>∗</m:t>
                    </m:r>
                    <m:acc>
                      <m:accPr>
                        <m:chr m:val="̅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𝑽</m:t>
                            </m:r>
                          </m:e>
                          <m:sub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𝒊</m:t>
                            </m:r>
                          </m:sub>
                        </m:sSub>
                      </m:e>
                    </m:acc>
                    <m:d>
                      <m:dPr>
                        <m:begChr m:val="["/>
                        <m:endChr m:val="]"/>
                        <m:ctrlPr>
                          <a:rPr lang="es-CO" sz="10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𝒎</m:t>
                            </m:r>
                          </m:num>
                          <m:den>
                            <m:r>
                              <a:rPr lang="es-CO" sz="1000" b="1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𝒔</m:t>
                            </m:r>
                          </m:den>
                        </m:f>
                      </m:e>
                    </m:d>
                  </m:oMath>
                </m:oMathPara>
              </a14:m>
              <a:endParaRPr lang="es-CO" sz="1000" b="1" i="0"/>
            </a:p>
          </xdr:txBody>
        </xdr:sp>
      </mc:Choice>
      <mc:Fallback xmlns="">
        <xdr:sp macro="" textlink="">
          <xdr:nvSpPr>
            <xdr:cNvPr id="16" name="CuadroTexto 21">
              <a:extLst>
                <a:ext uri="{FF2B5EF4-FFF2-40B4-BE49-F238E27FC236}">
                  <a16:creationId xmlns:a16="http://schemas.microsoft.com/office/drawing/2014/main" id="{0E94871D-9018-4FB9-936B-0E0BFD977424}"/>
                </a:ext>
              </a:extLst>
            </xdr:cNvPr>
            <xdr:cNvSpPr txBox="1"/>
          </xdr:nvSpPr>
          <xdr:spPr>
            <a:xfrm>
              <a:off x="4990037" y="12857951"/>
              <a:ext cx="1322606" cy="3424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00" b="1" i="0">
                  <a:latin typeface="Cambria Math" panose="02040503050406030204" pitchFamily="18" charset="0"/>
                </a:rPr>
                <a:t>(𝑽_𝒊 ) ̅[𝒇𝒕/𝒔]=𝟑,𝟐𝟖∗</a:t>
              </a:r>
              <a:r>
                <a:rPr lang="es-CO" sz="10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̅[𝒎/𝒔]</a:t>
              </a:r>
              <a:endParaRPr lang="es-CO" sz="1000" b="1" i="0"/>
            </a:p>
          </xdr:txBody>
        </xdr:sp>
      </mc:Fallback>
    </mc:AlternateContent>
    <xdr:clientData/>
  </xdr:oneCellAnchor>
  <xdr:oneCellAnchor>
    <xdr:from>
      <xdr:col>2</xdr:col>
      <xdr:colOff>96182</xdr:colOff>
      <xdr:row>68</xdr:row>
      <xdr:rowOff>41166</xdr:rowOff>
    </xdr:from>
    <xdr:ext cx="1500411" cy="3429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2842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𝐑𝐩𝐦</m:t>
                        </m:r>
                      </m:e>
                    </m:d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𝑹𝒆𝒗</m:t>
                            </m:r>
                          </m:e>
                        </m:d>
                      </m:num>
                      <m:den>
                        <m:r>
                          <a:rPr lang="es-CO" sz="1050" b="1" i="0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𝐭𝐜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CO" sz="1050" b="1" i="1">
                                <a:solidFill>
                                  <a:sysClr val="windowText" lastClr="000000"/>
                                </a:solidFill>
                                <a:latin typeface="Cambria Math" panose="02040503050406030204" pitchFamily="18" charset="0"/>
                              </a:rPr>
                              <m:t>𝒔</m:t>
                            </m:r>
                          </m:e>
                        </m:d>
                      </m:den>
                    </m:f>
                    <m:r>
                      <a:rPr lang="es-CO" sz="105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∗</m:t>
                    </m:r>
                    <m:f>
                      <m:fPr>
                        <m:ctrlP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𝟔𝟎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 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𝒔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num>
                      <m:den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[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𝒎𝒊𝒏</m:t>
                        </m:r>
                        <m:r>
                          <a:rPr lang="es-CO" sz="105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  <m:t>]</m:t>
                        </m:r>
                      </m:den>
                    </m:f>
                  </m:oMath>
                </m:oMathPara>
              </a14:m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Choice>
      <mc:Fallback xmlns="">
        <xdr:sp macro="" textlink="">
          <xdr:nvSpPr>
            <xdr:cNvPr id="17" name="CuadroTexto 23">
              <a:extLst>
                <a:ext uri="{FF2B5EF4-FFF2-40B4-BE49-F238E27FC236}">
                  <a16:creationId xmlns:a16="http://schemas.microsoft.com/office/drawing/2014/main" id="{DF4E5537-3FC9-4C1C-AAD2-18E7D998A2C4}"/>
                </a:ext>
              </a:extLst>
            </xdr:cNvPr>
            <xdr:cNvSpPr txBox="1"/>
          </xdr:nvSpPr>
          <xdr:spPr>
            <a:xfrm>
              <a:off x="743882" y="12842766"/>
              <a:ext cx="1500411" cy="3429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CO" sz="105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[𝐑𝐩𝐦]=[𝑹𝒆𝒗]/𝐭𝐜[𝒔] ∗(𝟔𝟎 [𝒔])/(𝟏[𝒎𝒊𝒏])</a:t>
              </a:r>
              <a:endParaRPr lang="es-CO" sz="1050" b="1" i="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oneCellAnchor>
  <xdr:oneCellAnchor>
    <xdr:from>
      <xdr:col>6</xdr:col>
      <xdr:colOff>573283</xdr:colOff>
      <xdr:row>73</xdr:row>
      <xdr:rowOff>152400</xdr:rowOff>
    </xdr:from>
    <xdr:ext cx="153866" cy="17857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uadroTexto 24">
              <a:extLst>
                <a:ext uri="{FF2B5EF4-FFF2-40B4-BE49-F238E27FC236}">
                  <a16:creationId xmlns:a16="http://schemas.microsoft.com/office/drawing/2014/main" id="{383907B5-7C0E-4BCF-BD7F-B5A6392A02A3}"/>
                </a:ext>
              </a:extLst>
            </xdr:cNvPr>
            <xdr:cNvSpPr txBox="1"/>
          </xdr:nvSpPr>
          <xdr:spPr>
            <a:xfrm>
              <a:off x="4078483" y="13811250"/>
              <a:ext cx="153866" cy="1785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bar>
                      <m:barPr>
                        <m:pos m:val="top"/>
                        <m:ctrlPr>
                          <a:rPr lang="es-CO" sz="1000" b="1" i="1" baseline="0">
                            <a:latin typeface="Cambria Math" panose="02040503050406030204" pitchFamily="18" charset="0"/>
                          </a:rPr>
                        </m:ctrlPr>
                      </m:barPr>
                      <m:e>
                        <m:r>
                          <a:rPr lang="es-CO" sz="1000" b="1" i="0" baseline="0">
                            <a:latin typeface="Cambria Math" panose="02040503050406030204" pitchFamily="18" charset="0"/>
                          </a:rPr>
                          <m:t>𝐕𝐢</m:t>
                        </m:r>
                      </m:e>
                    </m:bar>
                  </m:oMath>
                </m:oMathPara>
              </a14:m>
              <a:endParaRPr lang="es-CO" sz="1000" b="1" i="0" baseline="0">
                <a:latin typeface="Calibri" panose="020F0502020204030204" pitchFamily="34" charset="0"/>
              </a:endParaRPr>
            </a:p>
          </xdr:txBody>
        </xdr:sp>
      </mc:Choice>
      <mc:Fallback xmlns="">
        <xdr:sp macro="" textlink="">
          <xdr:nvSpPr>
            <xdr:cNvPr id="18" name="CuadroTexto 24">
              <a:extLst>
                <a:ext uri="{FF2B5EF4-FFF2-40B4-BE49-F238E27FC236}">
                  <a16:creationId xmlns:a16="http://schemas.microsoft.com/office/drawing/2014/main" id="{383907B5-7C0E-4BCF-BD7F-B5A6392A02A3}"/>
                </a:ext>
              </a:extLst>
            </xdr:cNvPr>
            <xdr:cNvSpPr txBox="1"/>
          </xdr:nvSpPr>
          <xdr:spPr>
            <a:xfrm>
              <a:off x="4078483" y="13811250"/>
              <a:ext cx="153866" cy="17857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CO" sz="1000" b="1" i="0" baseline="0">
                  <a:latin typeface="Cambria Math" panose="02040503050406030204" pitchFamily="18" charset="0"/>
                </a:rPr>
                <a:t>¯𝐕𝐢</a:t>
              </a:r>
              <a:endParaRPr lang="es-CO" sz="1000" b="1" i="0" baseline="0">
                <a:latin typeface="Calibri" panose="020F0502020204030204" pitchFamily="34" charset="0"/>
              </a:endParaRPr>
            </a:p>
          </xdr:txBody>
        </xdr:sp>
      </mc:Fallback>
    </mc:AlternateContent>
    <xdr:clientData/>
  </xdr:oneCellAnchor>
  <xdr:oneCellAnchor>
    <xdr:from>
      <xdr:col>10</xdr:col>
      <xdr:colOff>553512</xdr:colOff>
      <xdr:row>68</xdr:row>
      <xdr:rowOff>135078</xdr:rowOff>
    </xdr:from>
    <xdr:ext cx="3601499" cy="34637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2936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accPr>
                    <m:e>
                      <m:sSub>
                        <m:sSubPr>
                          <m:ctrlP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𝑽</m:t>
                          </m:r>
                        </m:e>
                        <m:sub>
                          <m:r>
                            <a:rPr lang="es-CO" sz="1100" b="1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𝒊</m:t>
                          </m:r>
                        </m:sub>
                      </m:sSub>
                    </m:e>
                  </m:acc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𝟎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.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𝟏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∗(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𝒔𝒖𝒑𝒇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𝟑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𝟔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𝟐</m:t>
                  </m:r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𝟎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.</m:t>
                      </m:r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𝟖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𝑽</m:t>
                      </m:r>
                    </m:e>
                    <m:sub>
                      <m:r>
                        <a:rPr lang="es-CO" sz="1100" b="1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𝒍𝒆𝒄𝒉𝒐</m:t>
                      </m:r>
                    </m:sub>
                  </m:sSub>
                  <m:r>
                    <a:rPr lang="es-CO" sz="1100" b="1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)</m:t>
                  </m:r>
                </m:oMath>
              </a14:m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050" b="1" i="0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s-ES" sz="1050" b="1" i="0">
                <a:solidFill>
                  <a:schemeClr val="tx1"/>
                </a:solidFill>
                <a:latin typeface="Cambria Math" panose="02040503050406030204" pitchFamily="18" charset="0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19" name="21 CuadroTexto">
              <a:extLst>
                <a:ext uri="{FF2B5EF4-FFF2-40B4-BE49-F238E27FC236}">
                  <a16:creationId xmlns:a16="http://schemas.microsoft.com/office/drawing/2014/main" id="{47CA8606-176C-4751-B053-DDBCF697BD59}"/>
                </a:ext>
              </a:extLst>
            </xdr:cNvPr>
            <xdr:cNvSpPr txBox="1"/>
          </xdr:nvSpPr>
          <xdr:spPr>
            <a:xfrm>
              <a:off x="6916212" y="12936678"/>
              <a:ext cx="3601499" cy="34637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(𝑽_𝒊 ) ̅=𝟎.𝟏∗(𝑽_𝒔𝒖𝒑𝒇+𝟑∗𝑽_(𝟎.𝟐)+𝟑∗𝑽_(𝟎.𝟔)+𝟐∗𝑽_(𝟎.𝟖)+𝑽_𝒍𝒆𝒄𝒉𝒐)</a:t>
              </a:r>
              <a:r>
                <a:rPr lang="es-CO" sz="1100" b="1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</a:p>
            <a:p>
              <a:pPr marL="0" indent="0"/>
              <a:r>
                <a:rPr lang="es-ES" sz="1050" b="1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</a:p>
          </xdr:txBody>
        </xdr:sp>
      </mc:Fallback>
    </mc:AlternateContent>
    <xdr:clientData/>
  </xdr:oneCellAnchor>
  <xdr:twoCellAnchor editAs="oneCell">
    <xdr:from>
      <xdr:col>1</xdr:col>
      <xdr:colOff>250453</xdr:colOff>
      <xdr:row>1</xdr:row>
      <xdr:rowOff>15062</xdr:rowOff>
    </xdr:from>
    <xdr:to>
      <xdr:col>3</xdr:col>
      <xdr:colOff>393328</xdr:colOff>
      <xdr:row>2</xdr:row>
      <xdr:rowOff>242545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59978" y="72212"/>
          <a:ext cx="1495425" cy="60848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386236</xdr:colOff>
      <xdr:row>1</xdr:row>
      <xdr:rowOff>38100</xdr:rowOff>
    </xdr:from>
    <xdr:to>
      <xdr:col>15</xdr:col>
      <xdr:colOff>342138</xdr:colOff>
      <xdr:row>2</xdr:row>
      <xdr:rowOff>219075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9606436" y="95250"/>
          <a:ext cx="670277" cy="5619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30480</xdr:colOff>
      <xdr:row>14</xdr:row>
      <xdr:rowOff>68580</xdr:rowOff>
    </xdr:from>
    <xdr:ext cx="174535" cy="172227"/>
    <xdr:sp macro="" textlink="">
      <xdr:nvSpPr>
        <xdr:cNvPr id="2" name="CuadroTexto 22">
          <a:extLst>
            <a:ext uri="{FF2B5EF4-FFF2-40B4-BE49-F238E27FC236}">
              <a16:creationId xmlns:a16="http://schemas.microsoft.com/office/drawing/2014/main" id="{FD240DDD-5F74-41EA-B78E-E3B54C280256}"/>
            </a:ext>
          </a:extLst>
        </xdr:cNvPr>
        <xdr:cNvSpPr txBox="1"/>
      </xdr:nvSpPr>
      <xdr:spPr>
        <a:xfrm>
          <a:off x="5678805" y="3564255"/>
          <a:ext cx="17453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100" b="1" i="0" baseline="0">
              <a:latin typeface="Cambria Math" panose="02040503050406030204" pitchFamily="18" charset="0"/>
            </a:rPr>
            <a:t>¯</a:t>
          </a:r>
          <a:r>
            <a:rPr lang="es-CO" sz="1100" b="1" i="0" u="none" baseline="0">
              <a:latin typeface="Cambria Math" panose="02040503050406030204" pitchFamily="18" charset="0"/>
            </a:rPr>
            <a:t>𝐕𝐢</a:t>
          </a:r>
          <a:endParaRPr lang="es-CO" sz="1100" b="1" i="0" u="none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4</xdr:col>
      <xdr:colOff>707523</xdr:colOff>
      <xdr:row>83</xdr:row>
      <xdr:rowOff>87920</xdr:rowOff>
    </xdr:from>
    <xdr:ext cx="1519198" cy="302519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14D38863-A958-44A1-BF80-1962F5ABE349}"/>
            </a:ext>
          </a:extLst>
        </xdr:cNvPr>
        <xdr:cNvSpPr txBox="1"/>
      </xdr:nvSpPr>
      <xdr:spPr>
        <a:xfrm>
          <a:off x="2783973" y="15546995"/>
          <a:ext cx="1519198" cy="3025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050" b="1" i="0">
              <a:latin typeface="Cambria Math"/>
            </a:rPr>
            <a:t>¯</a:t>
          </a:r>
          <a:r>
            <a:rPr lang="es-CO" sz="1050" b="1" i="0">
              <a:latin typeface="Cambria Math" panose="02040503050406030204" pitchFamily="18" charset="0"/>
            </a:rPr>
            <a:t>𝐕𝐢=</a:t>
          </a:r>
          <a:r>
            <a:rPr lang="es-CO" sz="1050" b="1" i="0">
              <a:latin typeface="Cambria Math"/>
            </a:rPr>
            <a:t>(</a:t>
          </a:r>
          <a:r>
            <a:rPr lang="es-CO" sz="1050" b="1" i="0">
              <a:latin typeface="Cambria Math" panose="02040503050406030204" pitchFamily="18" charset="0"/>
            </a:rPr>
            <a:t>𝐕</a:t>
          </a:r>
          <a:r>
            <a:rPr lang="es-CO" sz="1050" b="1" i="0">
              <a:latin typeface="Cambria Math"/>
            </a:rPr>
            <a:t>_(</a:t>
          </a:r>
          <a:r>
            <a:rPr lang="es-CO" sz="1050" b="1" i="0">
              <a:latin typeface="Cambria Math" panose="02040503050406030204" pitchFamily="18" charset="0"/>
            </a:rPr>
            <a:t>𝟎.𝟐</a:t>
          </a:r>
          <a:r>
            <a:rPr lang="es-CO" sz="1050" b="1" i="0">
              <a:latin typeface="Cambria Math"/>
            </a:rPr>
            <a:t>)</a:t>
          </a:r>
          <a:r>
            <a:rPr lang="es-CO" sz="1050" b="1" i="0">
              <a:latin typeface="Cambria Math" panose="02040503050406030204" pitchFamily="18" charset="0"/>
            </a:rPr>
            <a:t>+𝟐∗𝐕</a:t>
          </a:r>
          <a:r>
            <a:rPr lang="es-CO" sz="1050" b="1" i="0">
              <a:latin typeface="Cambria Math"/>
            </a:rPr>
            <a:t>_(</a:t>
          </a:r>
          <a:r>
            <a:rPr lang="es-CO" sz="1050" b="1" i="0">
              <a:latin typeface="Cambria Math" panose="02040503050406030204" pitchFamily="18" charset="0"/>
            </a:rPr>
            <a:t>𝟎.𝟒</a:t>
          </a:r>
          <a:r>
            <a:rPr lang="es-CO" sz="1050" b="1" i="0">
              <a:latin typeface="Cambria Math"/>
            </a:rPr>
            <a:t>)</a:t>
          </a:r>
          <a:r>
            <a:rPr lang="es-CO" sz="1050" b="1" i="0">
              <a:latin typeface="Cambria Math" panose="02040503050406030204" pitchFamily="18" charset="0"/>
            </a:rPr>
            <a:t>+𝐕</a:t>
          </a:r>
          <a:r>
            <a:rPr lang="es-CO" sz="1050" b="1" i="0">
              <a:latin typeface="Cambria Math"/>
            </a:rPr>
            <a:t>_(</a:t>
          </a:r>
          <a:r>
            <a:rPr lang="es-CO" sz="1050" b="1" i="0">
              <a:latin typeface="Cambria Math" panose="02040503050406030204" pitchFamily="18" charset="0"/>
            </a:rPr>
            <a:t>𝟎.𝟖</a:t>
          </a:r>
          <a:r>
            <a:rPr lang="es-CO" sz="1050" b="1" i="0">
              <a:latin typeface="Cambria Math"/>
            </a:rPr>
            <a:t>))/</a:t>
          </a:r>
          <a:r>
            <a:rPr lang="es-CO" sz="1050" b="1" i="0">
              <a:latin typeface="Cambria Math" panose="02040503050406030204" pitchFamily="18" charset="0"/>
            </a:rPr>
            <a:t>𝟒</a:t>
          </a:r>
          <a:endParaRPr lang="es-CO" sz="1050" b="1" i="0"/>
        </a:p>
      </xdr:txBody>
    </xdr:sp>
    <xdr:clientData/>
  </xdr:oneCellAnchor>
  <xdr:oneCellAnchor>
    <xdr:from>
      <xdr:col>4</xdr:col>
      <xdr:colOff>455076</xdr:colOff>
      <xdr:row>86</xdr:row>
      <xdr:rowOff>110032</xdr:rowOff>
    </xdr:from>
    <xdr:ext cx="4086888" cy="308674"/>
    <xdr:sp macro="" textlink="">
      <xdr:nvSpPr>
        <xdr:cNvPr id="4" name="21 CuadroTexto">
          <a:extLst>
            <a:ext uri="{FF2B5EF4-FFF2-40B4-BE49-F238E27FC236}">
              <a16:creationId xmlns:a16="http://schemas.microsoft.com/office/drawing/2014/main" id="{47CA8606-176C-4751-B053-DDBCF697BD59}"/>
            </a:ext>
          </a:extLst>
        </xdr:cNvPr>
        <xdr:cNvSpPr txBox="1"/>
      </xdr:nvSpPr>
      <xdr:spPr>
        <a:xfrm>
          <a:off x="2531526" y="16073932"/>
          <a:ext cx="4086888" cy="3086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indent="0"/>
          <a:r>
            <a:rPr lang="es-CO" sz="1050" b="1" i="0">
              <a:solidFill>
                <a:sysClr val="windowText" lastClr="000000"/>
              </a:solidFill>
              <a:effectLst/>
              <a:latin typeface="Cambria Math"/>
              <a:ea typeface="+mn-ea"/>
              <a:cs typeface="+mn-cs"/>
            </a:rPr>
            <a:t>¯</a:t>
          </a:r>
          <a:r>
            <a:rPr lang="es-CO" sz="1050" b="1" i="0">
              <a:solidFill>
                <a:sysClr val="windowText" lastClr="000000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𝐕𝐢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=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(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𝐕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_(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𝟎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.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𝟏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)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+𝐕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_(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𝟎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.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𝟐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)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+𝐕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_(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𝟎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.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𝟑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)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+𝐕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_(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𝟎.𝟒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)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+𝐕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_(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𝟎.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𝟓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)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+𝐕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_(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𝟎.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𝟔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)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+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〖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𝐕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_(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𝟎.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𝟕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)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+𝐕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_(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𝟎.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𝟖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)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+𝐕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_(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𝟎.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𝟗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)</a:t>
          </a:r>
          <a:r>
            <a:rPr lang="es-ES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+𝐕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〗_(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𝐬𝐮𝐩𝐟 </a:t>
          </a:r>
          <a:r>
            <a:rPr lang="es-ES" sz="1050" b="1" i="0">
              <a:solidFill>
                <a:sysClr val="windowText" lastClr="000000"/>
              </a:solidFill>
              <a:latin typeface="Cambria Math"/>
              <a:ea typeface="+mn-ea"/>
              <a:cs typeface="+mn-cs"/>
            </a:rPr>
            <a:t>))/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  <a:ea typeface="+mn-ea"/>
              <a:cs typeface="+mn-cs"/>
            </a:rPr>
            <a:t>𝟏𝟎</a:t>
          </a:r>
        </a:p>
      </xdr:txBody>
    </xdr:sp>
    <xdr:clientData/>
  </xdr:oneCellAnchor>
  <xdr:oneCellAnchor>
    <xdr:from>
      <xdr:col>10</xdr:col>
      <xdr:colOff>342110</xdr:colOff>
      <xdr:row>86</xdr:row>
      <xdr:rowOff>62344</xdr:rowOff>
    </xdr:from>
    <xdr:ext cx="1313516" cy="355023"/>
    <xdr:sp macro="" textlink="">
      <xdr:nvSpPr>
        <xdr:cNvPr id="5" name="20 CuadroTexto">
          <a:extLst>
            <a:ext uri="{FF2B5EF4-FFF2-40B4-BE49-F238E27FC236}">
              <a16:creationId xmlns:a16="http://schemas.microsoft.com/office/drawing/2014/main" id="{B890F03E-4165-4DE0-9AFB-4A22B6951804}"/>
            </a:ext>
          </a:extLst>
        </xdr:cNvPr>
        <xdr:cNvSpPr txBox="1"/>
      </xdr:nvSpPr>
      <xdr:spPr>
        <a:xfrm>
          <a:off x="6704810" y="16026244"/>
          <a:ext cx="1313516" cy="3550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ES" sz="105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𝐀𝐢=</a:t>
          </a:r>
          <a:r>
            <a:rPr lang="es-CO" sz="105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(〖</a:t>
          </a:r>
          <a:r>
            <a:rPr lang="es-CO" sz="105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(𝐡</a:t>
          </a:r>
          <a:r>
            <a:rPr lang="es-CO" sz="105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〗_</a:t>
          </a:r>
          <a:r>
            <a:rPr lang="es-CO" sz="105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𝐢+𝐡</a:t>
          </a:r>
          <a:r>
            <a:rPr lang="es-CO" sz="105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_(</a:t>
          </a:r>
          <a:r>
            <a:rPr lang="es-CO" sz="105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𝐢+𝟏 </a:t>
          </a:r>
          <a:r>
            <a:rPr lang="es-CO" sz="105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)</a:t>
          </a:r>
          <a:r>
            <a:rPr lang="es-CO" sz="105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)</a:t>
          </a:r>
          <a:r>
            <a:rPr lang="es-ES" sz="105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∗</a:t>
          </a:r>
          <a:r>
            <a:rPr lang="es-CO" sz="105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𝐛</a:t>
          </a:r>
          <a:r>
            <a:rPr lang="es-CO" sz="105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)/</a:t>
          </a:r>
          <a:r>
            <a:rPr lang="es-CO" sz="105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𝟐</a:t>
          </a:r>
          <a:endParaRPr lang="es-ES" sz="1050" b="1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14</xdr:col>
      <xdr:colOff>263225</xdr:colOff>
      <xdr:row>86</xdr:row>
      <xdr:rowOff>133481</xdr:rowOff>
    </xdr:from>
    <xdr:ext cx="1059883" cy="279820"/>
    <xdr:sp macro="" textlink="">
      <xdr:nvSpPr>
        <xdr:cNvPr id="6" name="19 CuadroTexto">
          <a:extLst>
            <a:ext uri="{FF2B5EF4-FFF2-40B4-BE49-F238E27FC236}">
              <a16:creationId xmlns:a16="http://schemas.microsoft.com/office/drawing/2014/main" id="{4B78248E-C7BB-4DE6-B215-EE8384164C2D}"/>
            </a:ext>
          </a:extLst>
        </xdr:cNvPr>
        <xdr:cNvSpPr txBox="1"/>
      </xdr:nvSpPr>
      <xdr:spPr>
        <a:xfrm>
          <a:off x="9483425" y="16097381"/>
          <a:ext cx="1059883" cy="2798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05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𝐐𝐢=𝐀𝐢∗</a:t>
          </a:r>
          <a:r>
            <a:rPr lang="es-CO" sz="105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¯</a:t>
          </a:r>
          <a:r>
            <a:rPr lang="es-CO" sz="105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𝐕𝐢</a:t>
          </a:r>
          <a:endParaRPr lang="es-ES" sz="1050" b="1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311720</xdr:colOff>
      <xdr:row>86</xdr:row>
      <xdr:rowOff>102839</xdr:rowOff>
    </xdr:from>
    <xdr:ext cx="1058367" cy="3283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756197F7-E6FE-49DD-AEE2-CFBBF99A9C66}"/>
            </a:ext>
          </a:extLst>
        </xdr:cNvPr>
        <xdr:cNvSpPr txBox="1"/>
      </xdr:nvSpPr>
      <xdr:spPr>
        <a:xfrm>
          <a:off x="959420" y="16066739"/>
          <a:ext cx="1058367" cy="3283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050" b="1" i="0" u="none">
              <a:solidFill>
                <a:sysClr val="windowText" lastClr="000000"/>
              </a:solidFill>
              <a:latin typeface="Cambria Math" panose="02040503050406030204" pitchFamily="18" charset="0"/>
            </a:rPr>
            <a:t>𝐐</a:t>
          </a:r>
          <a:r>
            <a:rPr lang="es-CO" sz="1050" b="1" i="0" u="none">
              <a:solidFill>
                <a:sysClr val="windowText" lastClr="000000"/>
              </a:solidFill>
              <a:latin typeface="Cambria Math"/>
            </a:rPr>
            <a:t>[</a:t>
          </a:r>
          <a:r>
            <a:rPr lang="es-CO" sz="1050" b="1" i="0" u="none">
              <a:solidFill>
                <a:sysClr val="windowText" lastClr="000000"/>
              </a:solidFill>
              <a:latin typeface="Cambria Math" panose="02040503050406030204" pitchFamily="18" charset="0"/>
            </a:rPr>
            <a:t>%</a:t>
          </a:r>
          <a:r>
            <a:rPr lang="es-CO" sz="1050" b="1" i="0" u="none">
              <a:solidFill>
                <a:sysClr val="windowText" lastClr="000000"/>
              </a:solidFill>
              <a:latin typeface="Cambria Math"/>
            </a:rPr>
            <a:t>]</a:t>
          </a:r>
          <a:r>
            <a:rPr lang="es-CO" sz="1050" b="1" i="0" u="none">
              <a:solidFill>
                <a:sysClr val="windowText" lastClr="000000"/>
              </a:solidFill>
              <a:latin typeface="Cambria Math" panose="02040503050406030204" pitchFamily="18" charset="0"/>
            </a:rPr>
            <a:t>=  𝐐𝐢</a:t>
          </a:r>
          <a:r>
            <a:rPr lang="es-CO" sz="1050" b="1" i="0" u="none">
              <a:solidFill>
                <a:sysClr val="windowText" lastClr="000000"/>
              </a:solidFill>
              <a:latin typeface="Cambria Math"/>
            </a:rPr>
            <a:t>/</a:t>
          </a:r>
          <a:r>
            <a:rPr lang="es-CO" sz="1050" b="1" i="0" u="none">
              <a:solidFill>
                <a:sysClr val="windowText" lastClr="000000"/>
              </a:solidFill>
              <a:latin typeface="Cambria Math" panose="02040503050406030204" pitchFamily="18" charset="0"/>
            </a:rPr>
            <a:t>𝐐𝐭∗𝟏𝟎𝟎</a:t>
          </a:r>
          <a:endParaRPr lang="es-CO" sz="1050" b="1" i="0" u="none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12</xdr:col>
      <xdr:colOff>436291</xdr:colOff>
      <xdr:row>86</xdr:row>
      <xdr:rowOff>129757</xdr:rowOff>
    </xdr:from>
    <xdr:ext cx="907300" cy="317972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E35B2A1D-33C4-4A4B-A9DE-2E22C5485924}"/>
            </a:ext>
          </a:extLst>
        </xdr:cNvPr>
        <xdr:cNvSpPr txBox="1"/>
      </xdr:nvSpPr>
      <xdr:spPr>
        <a:xfrm>
          <a:off x="8227741" y="16093657"/>
          <a:ext cx="907300" cy="3179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indent="0"/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𝑽𝒎𝒆𝒅𝒊𝒂=𝑸𝒕</a:t>
          </a:r>
          <a:r>
            <a:rPr lang="es-CO" sz="11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/</a:t>
          </a:r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𝑨𝒊</a:t>
          </a:r>
          <a:endParaRPr lang="es-CO" sz="1100" b="1" i="1">
            <a:solidFill>
              <a:schemeClr val="tx1"/>
            </a:solidFill>
            <a:effectLst/>
            <a:latin typeface="Cambria Math" panose="02040503050406030204" pitchFamily="18" charset="0"/>
            <a:ea typeface="+mn-ea"/>
            <a:cs typeface="+mn-cs"/>
          </a:endParaRPr>
        </a:p>
      </xdr:txBody>
    </xdr:sp>
    <xdr:clientData/>
  </xdr:oneCellAnchor>
  <xdr:oneCellAnchor>
    <xdr:from>
      <xdr:col>8</xdr:col>
      <xdr:colOff>56087</xdr:colOff>
      <xdr:row>83</xdr:row>
      <xdr:rowOff>56351</xdr:rowOff>
    </xdr:from>
    <xdr:ext cx="1322606" cy="342466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E94871D-9018-4FB9-936B-0E0BFD977424}"/>
            </a:ext>
          </a:extLst>
        </xdr:cNvPr>
        <xdr:cNvSpPr txBox="1"/>
      </xdr:nvSpPr>
      <xdr:spPr>
        <a:xfrm>
          <a:off x="4990037" y="15515426"/>
          <a:ext cx="1322606" cy="342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000" b="1" i="0">
              <a:latin typeface="Cambria Math"/>
            </a:rPr>
            <a:t>(</a:t>
          </a:r>
          <a:r>
            <a:rPr lang="es-CO" sz="1000" b="1" i="0">
              <a:latin typeface="Cambria Math" panose="02040503050406030204" pitchFamily="18" charset="0"/>
            </a:rPr>
            <a:t>𝑽</a:t>
          </a:r>
          <a:r>
            <a:rPr lang="es-CO" sz="1000" b="1" i="0">
              <a:latin typeface="Cambria Math"/>
            </a:rPr>
            <a:t>_</a:t>
          </a:r>
          <a:r>
            <a:rPr lang="es-CO" sz="1000" b="1" i="0">
              <a:latin typeface="Cambria Math" panose="02040503050406030204" pitchFamily="18" charset="0"/>
            </a:rPr>
            <a:t>𝒊</a:t>
          </a:r>
          <a:r>
            <a:rPr lang="es-CO" sz="1000" b="1" i="0">
              <a:latin typeface="Cambria Math"/>
            </a:rPr>
            <a:t> ) ̅[</a:t>
          </a:r>
          <a:r>
            <a:rPr lang="es-CO" sz="1000" b="1" i="0">
              <a:latin typeface="Cambria Math" panose="02040503050406030204" pitchFamily="18" charset="0"/>
            </a:rPr>
            <a:t>𝒇𝒕</a:t>
          </a:r>
          <a:r>
            <a:rPr lang="es-CO" sz="1000" b="1" i="0">
              <a:latin typeface="Cambria Math"/>
            </a:rPr>
            <a:t>/</a:t>
          </a:r>
          <a:r>
            <a:rPr lang="es-CO" sz="1000" b="1" i="0">
              <a:latin typeface="Cambria Math" panose="02040503050406030204" pitchFamily="18" charset="0"/>
            </a:rPr>
            <a:t>𝒔</a:t>
          </a:r>
          <a:r>
            <a:rPr lang="es-CO" sz="1000" b="1" i="0">
              <a:latin typeface="Cambria Math"/>
            </a:rPr>
            <a:t>]</a:t>
          </a:r>
          <a:r>
            <a:rPr lang="es-CO" sz="1000" b="1" i="0">
              <a:latin typeface="Cambria Math" panose="02040503050406030204" pitchFamily="18" charset="0"/>
            </a:rPr>
            <a:t>=𝟑,𝟐𝟖∗</a:t>
          </a:r>
          <a:r>
            <a:rPr lang="es-CO" sz="10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(</a:t>
          </a:r>
          <a:r>
            <a:rPr lang="es-CO" sz="10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𝑽</a:t>
          </a:r>
          <a:r>
            <a:rPr lang="es-CO" sz="10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_</a:t>
          </a:r>
          <a:r>
            <a:rPr lang="es-CO" sz="10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𝒊</a:t>
          </a:r>
          <a:r>
            <a:rPr lang="es-CO" sz="10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 ) ̅[</a:t>
          </a:r>
          <a:r>
            <a:rPr lang="es-CO" sz="10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𝒎</a:t>
          </a:r>
          <a:r>
            <a:rPr lang="es-CO" sz="10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/</a:t>
          </a:r>
          <a:r>
            <a:rPr lang="es-CO" sz="10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𝒔</a:t>
          </a:r>
          <a:r>
            <a:rPr lang="es-CO" sz="10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]</a:t>
          </a:r>
          <a:endParaRPr lang="es-CO" sz="1000" b="1" i="0"/>
        </a:p>
      </xdr:txBody>
    </xdr:sp>
    <xdr:clientData/>
  </xdr:oneCellAnchor>
  <xdr:oneCellAnchor>
    <xdr:from>
      <xdr:col>2</xdr:col>
      <xdr:colOff>96182</xdr:colOff>
      <xdr:row>83</xdr:row>
      <xdr:rowOff>41166</xdr:rowOff>
    </xdr:from>
    <xdr:ext cx="1500411" cy="342914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DF4E5537-3FC9-4C1C-AAD2-18E7D998A2C4}"/>
            </a:ext>
          </a:extLst>
        </xdr:cNvPr>
        <xdr:cNvSpPr txBox="1"/>
      </xdr:nvSpPr>
      <xdr:spPr>
        <a:xfrm>
          <a:off x="743882" y="15500241"/>
          <a:ext cx="1500411" cy="3429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s-CO" sz="1050" b="1" i="0">
              <a:solidFill>
                <a:sysClr val="windowText" lastClr="000000"/>
              </a:solidFill>
              <a:latin typeface="Cambria Math"/>
            </a:rPr>
            <a:t>[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</a:rPr>
            <a:t>𝐑𝐩𝐦</a:t>
          </a:r>
          <a:r>
            <a:rPr lang="es-CO" sz="1050" b="1" i="0">
              <a:solidFill>
                <a:sysClr val="windowText" lastClr="000000"/>
              </a:solidFill>
              <a:latin typeface="Cambria Math"/>
            </a:rPr>
            <a:t>]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</a:rPr>
            <a:t>=</a:t>
          </a:r>
          <a:r>
            <a:rPr lang="es-CO" sz="1050" b="1" i="0">
              <a:solidFill>
                <a:sysClr val="windowText" lastClr="000000"/>
              </a:solidFill>
              <a:latin typeface="Cambria Math"/>
            </a:rPr>
            <a:t>[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</a:rPr>
            <a:t>𝑹𝒆𝒗</a:t>
          </a:r>
          <a:r>
            <a:rPr lang="es-CO" sz="1050" b="1" i="0">
              <a:solidFill>
                <a:sysClr val="windowText" lastClr="000000"/>
              </a:solidFill>
              <a:latin typeface="Cambria Math"/>
            </a:rPr>
            <a:t>]/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</a:rPr>
            <a:t>𝐭𝐜</a:t>
          </a:r>
          <a:r>
            <a:rPr lang="es-CO" sz="1050" b="1" i="0">
              <a:solidFill>
                <a:sysClr val="windowText" lastClr="000000"/>
              </a:solidFill>
              <a:latin typeface="Cambria Math"/>
            </a:rPr>
            <a:t>[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</a:rPr>
            <a:t>𝒔</a:t>
          </a:r>
          <a:r>
            <a:rPr lang="es-CO" sz="1050" b="1" i="0">
              <a:solidFill>
                <a:sysClr val="windowText" lastClr="000000"/>
              </a:solidFill>
              <a:latin typeface="Cambria Math"/>
            </a:rPr>
            <a:t>] 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</a:rPr>
            <a:t>∗</a:t>
          </a:r>
          <a:r>
            <a:rPr lang="es-CO" sz="1050" b="1" i="0">
              <a:solidFill>
                <a:sysClr val="windowText" lastClr="000000"/>
              </a:solidFill>
              <a:latin typeface="Cambria Math"/>
            </a:rPr>
            <a:t>(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</a:rPr>
            <a:t>𝟔𝟎 [𝒔]</a:t>
          </a:r>
          <a:r>
            <a:rPr lang="es-CO" sz="1050" b="1" i="0">
              <a:solidFill>
                <a:sysClr val="windowText" lastClr="000000"/>
              </a:solidFill>
              <a:latin typeface="Cambria Math"/>
            </a:rPr>
            <a:t>)/(</a:t>
          </a:r>
          <a:r>
            <a:rPr lang="es-CO" sz="1050" b="1" i="0">
              <a:solidFill>
                <a:sysClr val="windowText" lastClr="000000"/>
              </a:solidFill>
              <a:latin typeface="Cambria Math" panose="02040503050406030204" pitchFamily="18" charset="0"/>
            </a:rPr>
            <a:t>𝟏[𝒎𝒊𝒏]</a:t>
          </a:r>
          <a:r>
            <a:rPr lang="es-CO" sz="1050" b="1" i="0">
              <a:solidFill>
                <a:sysClr val="windowText" lastClr="000000"/>
              </a:solidFill>
              <a:latin typeface="Cambria Math"/>
            </a:rPr>
            <a:t>)</a:t>
          </a:r>
          <a:endParaRPr lang="es-CO" sz="1050" b="1" i="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7</xdr:col>
      <xdr:colOff>117141</xdr:colOff>
      <xdr:row>89</xdr:row>
      <xdr:rowOff>10584</xdr:rowOff>
    </xdr:from>
    <xdr:ext cx="153866" cy="178575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383907B5-7C0E-4BCF-BD7F-B5A6392A02A3}"/>
            </a:ext>
          </a:extLst>
        </xdr:cNvPr>
        <xdr:cNvSpPr txBox="1"/>
      </xdr:nvSpPr>
      <xdr:spPr>
        <a:xfrm>
          <a:off x="4336716" y="16488834"/>
          <a:ext cx="153866" cy="1785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000" b="1" i="0" baseline="0">
              <a:latin typeface="Cambria Math"/>
            </a:rPr>
            <a:t>¯</a:t>
          </a:r>
          <a:r>
            <a:rPr lang="es-CO" sz="1000" b="1" i="0" baseline="0">
              <a:latin typeface="Cambria Math" panose="02040503050406030204" pitchFamily="18" charset="0"/>
            </a:rPr>
            <a:t>𝐕𝐢</a:t>
          </a:r>
          <a:endParaRPr lang="es-CO" sz="1000" b="1" i="0" baseline="0">
            <a:latin typeface="Calibri" panose="020F0502020204030204" pitchFamily="34" charset="0"/>
          </a:endParaRPr>
        </a:p>
      </xdr:txBody>
    </xdr:sp>
    <xdr:clientData/>
  </xdr:oneCellAnchor>
  <xdr:oneCellAnchor>
    <xdr:from>
      <xdr:col>10</xdr:col>
      <xdr:colOff>553512</xdr:colOff>
      <xdr:row>83</xdr:row>
      <xdr:rowOff>135078</xdr:rowOff>
    </xdr:from>
    <xdr:ext cx="3601499" cy="346377"/>
    <xdr:sp macro="" textlink="">
      <xdr:nvSpPr>
        <xdr:cNvPr id="12" name="21 CuadroTexto">
          <a:extLst>
            <a:ext uri="{FF2B5EF4-FFF2-40B4-BE49-F238E27FC236}">
              <a16:creationId xmlns:a16="http://schemas.microsoft.com/office/drawing/2014/main" id="{47CA8606-176C-4751-B053-DDBCF697BD59}"/>
            </a:ext>
          </a:extLst>
        </xdr:cNvPr>
        <xdr:cNvSpPr txBox="1"/>
      </xdr:nvSpPr>
      <xdr:spPr>
        <a:xfrm>
          <a:off x="6916212" y="15594153"/>
          <a:ext cx="3601499" cy="3463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11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(</a:t>
          </a:r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𝑽</a:t>
          </a:r>
          <a:r>
            <a:rPr lang="es-CO" sz="11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_</a:t>
          </a:r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𝒊</a:t>
          </a:r>
          <a:r>
            <a:rPr lang="es-CO" sz="11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 ) ̅</a:t>
          </a:r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=𝟎.𝟏∗(𝑽</a:t>
          </a:r>
          <a:r>
            <a:rPr lang="es-CO" sz="11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_</a:t>
          </a:r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𝒔𝒖𝒑𝒇+𝟑∗𝑽</a:t>
          </a:r>
          <a:r>
            <a:rPr lang="es-CO" sz="11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_(</a:t>
          </a:r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𝟎.𝟐</a:t>
          </a:r>
          <a:r>
            <a:rPr lang="es-CO" sz="11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)</a:t>
          </a:r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+𝟑∗𝑽</a:t>
          </a:r>
          <a:r>
            <a:rPr lang="es-CO" sz="11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_(</a:t>
          </a:r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𝟎.𝟔</a:t>
          </a:r>
          <a:r>
            <a:rPr lang="es-CO" sz="11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)</a:t>
          </a:r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+𝟐∗𝑽</a:t>
          </a:r>
          <a:r>
            <a:rPr lang="es-CO" sz="11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_(</a:t>
          </a:r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𝟎.𝟖</a:t>
          </a:r>
          <a:r>
            <a:rPr lang="es-CO" sz="11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)</a:t>
          </a:r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+𝑽</a:t>
          </a:r>
          <a:r>
            <a:rPr lang="es-CO" sz="1100" b="1" i="0">
              <a:solidFill>
                <a:schemeClr val="tx1"/>
              </a:solidFill>
              <a:effectLst/>
              <a:latin typeface="Cambria Math"/>
              <a:ea typeface="+mn-ea"/>
              <a:cs typeface="+mn-cs"/>
            </a:rPr>
            <a:t>_</a:t>
          </a:r>
          <a:r>
            <a:rPr lang="es-CO" sz="1100" b="1" i="0">
              <a:solidFill>
                <a:schemeClr val="tx1"/>
              </a:solidFill>
              <a:effectLst/>
              <a:latin typeface="Cambria Math" panose="02040503050406030204" pitchFamily="18" charset="0"/>
              <a:ea typeface="+mn-ea"/>
              <a:cs typeface="+mn-cs"/>
            </a:rPr>
            <a:t>𝒍𝒆𝒄𝒉𝒐)</a:t>
          </a:r>
        </a:p>
        <a:p>
          <a:pPr marL="0" indent="0"/>
          <a:endParaRPr/>
        </a:p>
      </xdr:txBody>
    </xdr:sp>
    <xdr:clientData/>
  </xdr:oneCellAnchor>
  <xdr:oneCellAnchor>
    <xdr:from>
      <xdr:col>10</xdr:col>
      <xdr:colOff>306907</xdr:colOff>
      <xdr:row>15</xdr:row>
      <xdr:rowOff>0</xdr:rowOff>
    </xdr:from>
    <xdr:ext cx="153866" cy="196464"/>
    <xdr:sp macro="" textlink="">
      <xdr:nvSpPr>
        <xdr:cNvPr id="13" name="CuadroTexto 1">
          <a:extLst>
            <a:ext uri="{FF2B5EF4-FFF2-40B4-BE49-F238E27FC236}">
              <a16:creationId xmlns:a16="http://schemas.microsoft.com/office/drawing/2014/main" id="{7C620ED8-05B9-4EE2-A144-12F569657F6A}"/>
            </a:ext>
          </a:extLst>
        </xdr:cNvPr>
        <xdr:cNvSpPr txBox="1"/>
      </xdr:nvSpPr>
      <xdr:spPr>
        <a:xfrm>
          <a:off x="6669607" y="3762375"/>
          <a:ext cx="153866" cy="196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s-CO" sz="1100" b="1" i="0" baseline="0">
              <a:latin typeface="Cambria Math"/>
            </a:rPr>
            <a:t>¯</a:t>
          </a:r>
          <a:r>
            <a:rPr lang="es-CO" sz="1100" b="1" i="0" baseline="0">
              <a:latin typeface="Cambria Math" panose="02040503050406030204" pitchFamily="18" charset="0"/>
            </a:rPr>
            <a:t>𝐕𝐢</a:t>
          </a:r>
          <a:endParaRPr lang="es-CO" sz="1100" b="1" i="0" baseline="0">
            <a:latin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190501</xdr:colOff>
      <xdr:row>105</xdr:row>
      <xdr:rowOff>148167</xdr:rowOff>
    </xdr:from>
    <xdr:to>
      <xdr:col>5</xdr:col>
      <xdr:colOff>450397</xdr:colOff>
      <xdr:row>110</xdr:row>
      <xdr:rowOff>191334</xdr:rowOff>
    </xdr:to>
    <xdr:pic>
      <xdr:nvPicPr>
        <xdr:cNvPr id="14" name="Imagen 24"/>
        <xdr:cNvPicPr/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00026" y="19845867"/>
          <a:ext cx="3041196" cy="1795767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338667</xdr:colOff>
      <xdr:row>105</xdr:row>
      <xdr:rowOff>179916</xdr:rowOff>
    </xdr:from>
    <xdr:to>
      <xdr:col>10</xdr:col>
      <xdr:colOff>488252</xdr:colOff>
      <xdr:row>111</xdr:row>
      <xdr:rowOff>22000</xdr:rowOff>
    </xdr:to>
    <xdr:pic>
      <xdr:nvPicPr>
        <xdr:cNvPr id="15" name="Imagen 23"/>
        <xdr:cNvPicPr/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843867" y="19877616"/>
          <a:ext cx="3007085" cy="1794709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412750</xdr:colOff>
      <xdr:row>114</xdr:row>
      <xdr:rowOff>63499</xdr:rowOff>
    </xdr:from>
    <xdr:to>
      <xdr:col>4</xdr:col>
      <xdr:colOff>271877</xdr:colOff>
      <xdr:row>114</xdr:row>
      <xdr:rowOff>2161554</xdr:rowOff>
    </xdr:to>
    <xdr:pic>
      <xdr:nvPicPr>
        <xdr:cNvPr id="16" name="22 Imagen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275" y="22390099"/>
          <a:ext cx="1926052" cy="2098055"/>
        </a:xfrm>
        <a:prstGeom prst="rect">
          <a:avLst/>
        </a:prstGeom>
      </xdr:spPr>
    </xdr:pic>
    <xdr:clientData/>
  </xdr:twoCellAnchor>
  <xdr:twoCellAnchor editAs="oneCell">
    <xdr:from>
      <xdr:col>11</xdr:col>
      <xdr:colOff>75702</xdr:colOff>
      <xdr:row>114</xdr:row>
      <xdr:rowOff>63499</xdr:rowOff>
    </xdr:from>
    <xdr:to>
      <xdr:col>14</xdr:col>
      <xdr:colOff>686297</xdr:colOff>
      <xdr:row>114</xdr:row>
      <xdr:rowOff>2141582</xdr:rowOff>
    </xdr:to>
    <xdr:pic>
      <xdr:nvPicPr>
        <xdr:cNvPr id="17" name="29 Imagen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52777" y="22390099"/>
          <a:ext cx="2753720" cy="2078083"/>
        </a:xfrm>
        <a:prstGeom prst="rect">
          <a:avLst/>
        </a:prstGeom>
      </xdr:spPr>
    </xdr:pic>
    <xdr:clientData/>
  </xdr:twoCellAnchor>
  <xdr:twoCellAnchor editAs="oneCell">
    <xdr:from>
      <xdr:col>5</xdr:col>
      <xdr:colOff>438151</xdr:colOff>
      <xdr:row>114</xdr:row>
      <xdr:rowOff>90212</xdr:rowOff>
    </xdr:from>
    <xdr:to>
      <xdr:col>9</xdr:col>
      <xdr:colOff>359834</xdr:colOff>
      <xdr:row>114</xdr:row>
      <xdr:rowOff>2190750</xdr:rowOff>
    </xdr:to>
    <xdr:pic>
      <xdr:nvPicPr>
        <xdr:cNvPr id="19" name="30 Imagen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6" y="22416812"/>
          <a:ext cx="2779183" cy="2100538"/>
        </a:xfrm>
        <a:prstGeom prst="rect">
          <a:avLst/>
        </a:prstGeom>
      </xdr:spPr>
    </xdr:pic>
    <xdr:clientData/>
  </xdr:twoCellAnchor>
  <xdr:twoCellAnchor editAs="oneCell">
    <xdr:from>
      <xdr:col>1</xdr:col>
      <xdr:colOff>250453</xdr:colOff>
      <xdr:row>1</xdr:row>
      <xdr:rowOff>15062</xdr:rowOff>
    </xdr:from>
    <xdr:to>
      <xdr:col>3</xdr:col>
      <xdr:colOff>393328</xdr:colOff>
      <xdr:row>2</xdr:row>
      <xdr:rowOff>242545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59978" y="72212"/>
          <a:ext cx="1495425" cy="60848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14</xdr:col>
      <xdr:colOff>386236</xdr:colOff>
      <xdr:row>1</xdr:row>
      <xdr:rowOff>38100</xdr:rowOff>
    </xdr:from>
    <xdr:to>
      <xdr:col>15</xdr:col>
      <xdr:colOff>342138</xdr:colOff>
      <xdr:row>2</xdr:row>
      <xdr:rowOff>219075</xdr:rowOff>
    </xdr:to>
    <xdr:pic>
      <xdr:nvPicPr>
        <xdr:cNvPr id="2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9606436" y="95250"/>
          <a:ext cx="670277" cy="5619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45"/>
  <sheetViews>
    <sheetView workbookViewId="0">
      <selection activeCell="K40" sqref="K40"/>
    </sheetView>
  </sheetViews>
  <sheetFormatPr baseColWidth="10" defaultRowHeight="15" x14ac:dyDescent="0.25"/>
  <cols>
    <col min="2" max="2" width="1.28515625" customWidth="1"/>
    <col min="10" max="10" width="1.28515625" customWidth="1"/>
  </cols>
  <sheetData>
    <row r="2" spans="2:10" x14ac:dyDescent="0.25">
      <c r="B2" s="109" t="s">
        <v>80</v>
      </c>
      <c r="C2" s="109"/>
      <c r="D2" s="109"/>
      <c r="E2" s="109"/>
      <c r="F2" s="109"/>
      <c r="G2" s="109"/>
      <c r="H2" s="109"/>
      <c r="I2" s="109"/>
      <c r="J2" s="109"/>
    </row>
    <row r="3" spans="2:10" ht="6.75" customHeight="1" x14ac:dyDescent="0.25">
      <c r="B3" s="111"/>
      <c r="C3" s="112"/>
      <c r="D3" s="112"/>
      <c r="E3" s="112"/>
      <c r="F3" s="112"/>
      <c r="G3" s="112"/>
      <c r="H3" s="112"/>
      <c r="I3" s="112"/>
      <c r="J3" s="113"/>
    </row>
    <row r="4" spans="2:10" x14ac:dyDescent="0.25">
      <c r="B4" s="114"/>
      <c r="C4" s="110"/>
      <c r="D4" s="110"/>
      <c r="E4" s="110"/>
      <c r="F4" s="110"/>
      <c r="G4" s="110"/>
      <c r="H4" s="110"/>
      <c r="I4" s="110"/>
      <c r="J4" s="116"/>
    </row>
    <row r="5" spans="2:10" x14ac:dyDescent="0.25">
      <c r="B5" s="114"/>
      <c r="C5" s="110"/>
      <c r="D5" s="110"/>
      <c r="E5" s="110"/>
      <c r="F5" s="110"/>
      <c r="G5" s="110"/>
      <c r="H5" s="110"/>
      <c r="I5" s="110"/>
      <c r="J5" s="116"/>
    </row>
    <row r="6" spans="2:10" x14ac:dyDescent="0.25">
      <c r="B6" s="114"/>
      <c r="C6" s="110"/>
      <c r="D6" s="110"/>
      <c r="E6" s="110"/>
      <c r="F6" s="110"/>
      <c r="G6" s="110"/>
      <c r="H6" s="110"/>
      <c r="I6" s="110"/>
      <c r="J6" s="116"/>
    </row>
    <row r="7" spans="2:10" x14ac:dyDescent="0.25">
      <c r="B7" s="114"/>
      <c r="C7" s="110"/>
      <c r="D7" s="110"/>
      <c r="E7" s="110"/>
      <c r="F7" s="110"/>
      <c r="G7" s="110"/>
      <c r="H7" s="110"/>
      <c r="I7" s="110"/>
      <c r="J7" s="116"/>
    </row>
    <row r="8" spans="2:10" x14ac:dyDescent="0.25">
      <c r="B8" s="114"/>
      <c r="C8" s="110"/>
      <c r="D8" s="110"/>
      <c r="E8" s="110"/>
      <c r="F8" s="110"/>
      <c r="G8" s="110"/>
      <c r="H8" s="110"/>
      <c r="I8" s="110"/>
      <c r="J8" s="116"/>
    </row>
    <row r="9" spans="2:10" x14ac:dyDescent="0.25">
      <c r="B9" s="114"/>
      <c r="C9" s="110"/>
      <c r="D9" s="110"/>
      <c r="E9" s="110"/>
      <c r="F9" s="110"/>
      <c r="G9" s="110"/>
      <c r="H9" s="110"/>
      <c r="I9" s="110"/>
      <c r="J9" s="116"/>
    </row>
    <row r="10" spans="2:10" x14ac:dyDescent="0.25">
      <c r="B10" s="114"/>
      <c r="C10" s="110"/>
      <c r="D10" s="110"/>
      <c r="E10" s="110"/>
      <c r="F10" s="110"/>
      <c r="G10" s="110"/>
      <c r="H10" s="110"/>
      <c r="I10" s="110"/>
      <c r="J10" s="116"/>
    </row>
    <row r="11" spans="2:10" x14ac:dyDescent="0.25">
      <c r="B11" s="114"/>
      <c r="C11" s="110"/>
      <c r="D11" s="110"/>
      <c r="E11" s="110"/>
      <c r="F11" s="110"/>
      <c r="G11" s="110"/>
      <c r="H11" s="110"/>
      <c r="I11" s="110"/>
      <c r="J11" s="116"/>
    </row>
    <row r="12" spans="2:10" x14ac:dyDescent="0.25">
      <c r="B12" s="114"/>
      <c r="C12" s="110"/>
      <c r="D12" s="110"/>
      <c r="E12" s="110"/>
      <c r="F12" s="110"/>
      <c r="G12" s="110"/>
      <c r="H12" s="110"/>
      <c r="I12" s="110"/>
      <c r="J12" s="116"/>
    </row>
    <row r="13" spans="2:10" x14ac:dyDescent="0.25">
      <c r="B13" s="114"/>
      <c r="C13" s="110"/>
      <c r="D13" s="110"/>
      <c r="E13" s="110"/>
      <c r="F13" s="110"/>
      <c r="G13" s="110"/>
      <c r="H13" s="110"/>
      <c r="I13" s="110"/>
      <c r="J13" s="116"/>
    </row>
    <row r="14" spans="2:10" x14ac:dyDescent="0.25">
      <c r="B14" s="114"/>
      <c r="C14" s="110"/>
      <c r="D14" s="110"/>
      <c r="E14" s="110"/>
      <c r="F14" s="110"/>
      <c r="G14" s="110"/>
      <c r="H14" s="110"/>
      <c r="I14" s="110"/>
      <c r="J14" s="116"/>
    </row>
    <row r="15" spans="2:10" x14ac:dyDescent="0.25">
      <c r="B15" s="114"/>
      <c r="C15" s="110"/>
      <c r="D15" s="110"/>
      <c r="E15" s="110"/>
      <c r="F15" s="110"/>
      <c r="G15" s="110"/>
      <c r="H15" s="110"/>
      <c r="I15" s="110"/>
      <c r="J15" s="116"/>
    </row>
    <row r="16" spans="2:10" x14ac:dyDescent="0.25">
      <c r="B16" s="114"/>
      <c r="C16" s="110"/>
      <c r="D16" s="110"/>
      <c r="E16" s="110"/>
      <c r="F16" s="110"/>
      <c r="G16" s="110"/>
      <c r="H16" s="110"/>
      <c r="I16" s="110"/>
      <c r="J16" s="116"/>
    </row>
    <row r="17" spans="2:10" x14ac:dyDescent="0.25">
      <c r="B17" s="114"/>
      <c r="C17" s="110"/>
      <c r="D17" s="110"/>
      <c r="E17" s="110"/>
      <c r="F17" s="110"/>
      <c r="G17" s="110"/>
      <c r="H17" s="110"/>
      <c r="I17" s="110"/>
      <c r="J17" s="116"/>
    </row>
    <row r="18" spans="2:10" x14ac:dyDescent="0.25">
      <c r="B18" s="114"/>
      <c r="C18" s="110"/>
      <c r="D18" s="110"/>
      <c r="E18" s="110"/>
      <c r="F18" s="110"/>
      <c r="G18" s="110"/>
      <c r="H18" s="110"/>
      <c r="I18" s="110"/>
      <c r="J18" s="116"/>
    </row>
    <row r="19" spans="2:10" x14ac:dyDescent="0.25">
      <c r="B19" s="114"/>
      <c r="C19" s="110"/>
      <c r="D19" s="110"/>
      <c r="E19" s="110"/>
      <c r="F19" s="110"/>
      <c r="G19" s="110"/>
      <c r="H19" s="110"/>
      <c r="I19" s="110"/>
      <c r="J19" s="116"/>
    </row>
    <row r="20" spans="2:10" x14ac:dyDescent="0.25">
      <c r="B20" s="114"/>
      <c r="C20" s="110"/>
      <c r="D20" s="110"/>
      <c r="E20" s="110"/>
      <c r="F20" s="110"/>
      <c r="G20" s="110"/>
      <c r="H20" s="110"/>
      <c r="I20" s="110"/>
      <c r="J20" s="116"/>
    </row>
    <row r="21" spans="2:10" x14ac:dyDescent="0.25">
      <c r="B21" s="114"/>
      <c r="C21" s="110"/>
      <c r="D21" s="110"/>
      <c r="E21" s="110"/>
      <c r="F21" s="110"/>
      <c r="G21" s="110"/>
      <c r="H21" s="110"/>
      <c r="I21" s="110"/>
      <c r="J21" s="116"/>
    </row>
    <row r="22" spans="2:10" ht="6.75" customHeight="1" x14ac:dyDescent="0.25">
      <c r="B22" s="115"/>
      <c r="C22" s="118"/>
      <c r="D22" s="118"/>
      <c r="E22" s="118"/>
      <c r="F22" s="118"/>
      <c r="G22" s="118"/>
      <c r="H22" s="118"/>
      <c r="I22" s="118"/>
      <c r="J22" s="117"/>
    </row>
    <row r="23" spans="2:10" x14ac:dyDescent="0.25">
      <c r="B23" s="2"/>
      <c r="C23" s="2"/>
      <c r="D23" s="2"/>
      <c r="E23" s="2"/>
      <c r="F23" s="2"/>
      <c r="G23" s="2"/>
      <c r="H23" s="2"/>
      <c r="I23" s="2"/>
    </row>
    <row r="24" spans="2:10" x14ac:dyDescent="0.25">
      <c r="B24" s="109" t="s">
        <v>81</v>
      </c>
      <c r="C24" s="109"/>
      <c r="D24" s="109"/>
      <c r="E24" s="109"/>
      <c r="F24" s="109"/>
      <c r="G24" s="109"/>
      <c r="H24" s="109"/>
      <c r="I24" s="109"/>
      <c r="J24" s="109"/>
    </row>
    <row r="25" spans="2:10" ht="6.75" customHeight="1" x14ac:dyDescent="0.25">
      <c r="B25" s="111"/>
      <c r="C25" s="112"/>
      <c r="D25" s="112"/>
      <c r="E25" s="112"/>
      <c r="F25" s="112"/>
      <c r="G25" s="112"/>
      <c r="H25" s="112"/>
      <c r="I25" s="112"/>
      <c r="J25" s="113"/>
    </row>
    <row r="26" spans="2:10" x14ac:dyDescent="0.25">
      <c r="B26" s="114"/>
      <c r="C26" s="110"/>
      <c r="D26" s="110"/>
      <c r="E26" s="110"/>
      <c r="F26" s="110"/>
      <c r="G26" s="110"/>
      <c r="H26" s="110"/>
      <c r="I26" s="110"/>
      <c r="J26" s="116"/>
    </row>
    <row r="27" spans="2:10" x14ac:dyDescent="0.25">
      <c r="B27" s="114"/>
      <c r="C27" s="110"/>
      <c r="D27" s="110"/>
      <c r="E27" s="110"/>
      <c r="F27" s="110"/>
      <c r="G27" s="110"/>
      <c r="H27" s="110"/>
      <c r="I27" s="110"/>
      <c r="J27" s="116"/>
    </row>
    <row r="28" spans="2:10" x14ac:dyDescent="0.25">
      <c r="B28" s="114"/>
      <c r="C28" s="110"/>
      <c r="D28" s="110"/>
      <c r="E28" s="110"/>
      <c r="F28" s="110"/>
      <c r="G28" s="110"/>
      <c r="H28" s="110"/>
      <c r="I28" s="110"/>
      <c r="J28" s="116"/>
    </row>
    <row r="29" spans="2:10" x14ac:dyDescent="0.25">
      <c r="B29" s="114"/>
      <c r="C29" s="110"/>
      <c r="D29" s="110"/>
      <c r="E29" s="110"/>
      <c r="F29" s="110"/>
      <c r="G29" s="110"/>
      <c r="H29" s="110"/>
      <c r="I29" s="110"/>
      <c r="J29" s="116"/>
    </row>
    <row r="30" spans="2:10" x14ac:dyDescent="0.25">
      <c r="B30" s="114"/>
      <c r="C30" s="110"/>
      <c r="D30" s="110"/>
      <c r="E30" s="110"/>
      <c r="F30" s="110"/>
      <c r="G30" s="110"/>
      <c r="H30" s="110"/>
      <c r="I30" s="110"/>
      <c r="J30" s="116"/>
    </row>
    <row r="31" spans="2:10" x14ac:dyDescent="0.25">
      <c r="B31" s="114"/>
      <c r="C31" s="110"/>
      <c r="D31" s="110"/>
      <c r="E31" s="110"/>
      <c r="F31" s="110"/>
      <c r="G31" s="110"/>
      <c r="H31" s="110"/>
      <c r="I31" s="110"/>
      <c r="J31" s="116"/>
    </row>
    <row r="32" spans="2:10" x14ac:dyDescent="0.25">
      <c r="B32" s="114"/>
      <c r="C32" s="110"/>
      <c r="D32" s="110"/>
      <c r="E32" s="110"/>
      <c r="F32" s="110"/>
      <c r="G32" s="110"/>
      <c r="H32" s="110"/>
      <c r="I32" s="110"/>
      <c r="J32" s="116"/>
    </row>
    <row r="33" spans="2:10" x14ac:dyDescent="0.25">
      <c r="B33" s="114"/>
      <c r="C33" s="110"/>
      <c r="D33" s="110"/>
      <c r="E33" s="110"/>
      <c r="F33" s="110"/>
      <c r="G33" s="110"/>
      <c r="H33" s="110"/>
      <c r="I33" s="110"/>
      <c r="J33" s="116"/>
    </row>
    <row r="34" spans="2:10" x14ac:dyDescent="0.25">
      <c r="B34" s="114"/>
      <c r="C34" s="110"/>
      <c r="D34" s="110"/>
      <c r="E34" s="110"/>
      <c r="F34" s="110"/>
      <c r="G34" s="110"/>
      <c r="H34" s="110"/>
      <c r="I34" s="110"/>
      <c r="J34" s="116"/>
    </row>
    <row r="35" spans="2:10" x14ac:dyDescent="0.25">
      <c r="B35" s="114"/>
      <c r="C35" s="110"/>
      <c r="D35" s="110"/>
      <c r="E35" s="110"/>
      <c r="F35" s="110"/>
      <c r="G35" s="110"/>
      <c r="H35" s="110"/>
      <c r="I35" s="110"/>
      <c r="J35" s="116"/>
    </row>
    <row r="36" spans="2:10" x14ac:dyDescent="0.25">
      <c r="B36" s="114"/>
      <c r="C36" s="110"/>
      <c r="D36" s="110"/>
      <c r="E36" s="110"/>
      <c r="F36" s="110"/>
      <c r="G36" s="110"/>
      <c r="H36" s="110"/>
      <c r="I36" s="110"/>
      <c r="J36" s="116"/>
    </row>
    <row r="37" spans="2:10" x14ac:dyDescent="0.25">
      <c r="B37" s="114"/>
      <c r="C37" s="110"/>
      <c r="D37" s="110"/>
      <c r="E37" s="110"/>
      <c r="F37" s="110"/>
      <c r="G37" s="110"/>
      <c r="H37" s="110"/>
      <c r="I37" s="110"/>
      <c r="J37" s="116"/>
    </row>
    <row r="38" spans="2:10" x14ac:dyDescent="0.25">
      <c r="B38" s="114"/>
      <c r="C38" s="110"/>
      <c r="D38" s="110"/>
      <c r="E38" s="110"/>
      <c r="F38" s="110"/>
      <c r="G38" s="110"/>
      <c r="H38" s="110"/>
      <c r="I38" s="110"/>
      <c r="J38" s="116"/>
    </row>
    <row r="39" spans="2:10" x14ac:dyDescent="0.25">
      <c r="B39" s="114"/>
      <c r="C39" s="110"/>
      <c r="D39" s="110"/>
      <c r="E39" s="110"/>
      <c r="F39" s="110"/>
      <c r="G39" s="110"/>
      <c r="H39" s="110"/>
      <c r="I39" s="110"/>
      <c r="J39" s="116"/>
    </row>
    <row r="40" spans="2:10" x14ac:dyDescent="0.25">
      <c r="B40" s="114"/>
      <c r="C40" s="110"/>
      <c r="D40" s="110"/>
      <c r="E40" s="110"/>
      <c r="F40" s="110"/>
      <c r="G40" s="110"/>
      <c r="H40" s="110"/>
      <c r="I40" s="110"/>
      <c r="J40" s="116"/>
    </row>
    <row r="41" spans="2:10" x14ac:dyDescent="0.25">
      <c r="B41" s="114"/>
      <c r="C41" s="110"/>
      <c r="D41" s="110"/>
      <c r="E41" s="110"/>
      <c r="F41" s="110"/>
      <c r="G41" s="110"/>
      <c r="H41" s="110"/>
      <c r="I41" s="110"/>
      <c r="J41" s="116"/>
    </row>
    <row r="42" spans="2:10" x14ac:dyDescent="0.25">
      <c r="B42" s="114"/>
      <c r="C42" s="110"/>
      <c r="D42" s="110"/>
      <c r="E42" s="110"/>
      <c r="F42" s="110"/>
      <c r="G42" s="110"/>
      <c r="H42" s="110"/>
      <c r="I42" s="110"/>
      <c r="J42" s="116"/>
    </row>
    <row r="43" spans="2:10" x14ac:dyDescent="0.25">
      <c r="B43" s="114"/>
      <c r="C43" s="110"/>
      <c r="D43" s="110"/>
      <c r="E43" s="110"/>
      <c r="F43" s="110"/>
      <c r="G43" s="110"/>
      <c r="H43" s="110"/>
      <c r="I43" s="110"/>
      <c r="J43" s="116"/>
    </row>
    <row r="44" spans="2:10" x14ac:dyDescent="0.25">
      <c r="B44" s="114"/>
      <c r="C44" s="110"/>
      <c r="D44" s="110"/>
      <c r="E44" s="110"/>
      <c r="F44" s="110"/>
      <c r="G44" s="110"/>
      <c r="H44" s="110"/>
      <c r="I44" s="110"/>
      <c r="J44" s="116"/>
    </row>
    <row r="45" spans="2:10" ht="6.75" customHeight="1" x14ac:dyDescent="0.25">
      <c r="B45" s="115"/>
      <c r="C45" s="118"/>
      <c r="D45" s="118"/>
      <c r="E45" s="118"/>
      <c r="F45" s="118"/>
      <c r="G45" s="118"/>
      <c r="H45" s="118"/>
      <c r="I45" s="118"/>
      <c r="J45" s="117"/>
    </row>
  </sheetData>
  <mergeCells count="12">
    <mergeCell ref="B24:J24"/>
    <mergeCell ref="B25:J25"/>
    <mergeCell ref="B26:B45"/>
    <mergeCell ref="C26:I44"/>
    <mergeCell ref="J26:J45"/>
    <mergeCell ref="C45:I45"/>
    <mergeCell ref="B2:J2"/>
    <mergeCell ref="C4:I21"/>
    <mergeCell ref="B3:J3"/>
    <mergeCell ref="B4:B22"/>
    <mergeCell ref="J4:J22"/>
    <mergeCell ref="C22:I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Z98"/>
  <sheetViews>
    <sheetView view="pageBreakPreview" zoomScale="85" zoomScaleSheetLayoutView="85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"/>
    </row>
    <row r="2" spans="1:26" s="4" customFormat="1" ht="30" customHeight="1" x14ac:dyDescent="0.25">
      <c r="A2" s="100"/>
      <c r="B2" s="354"/>
      <c r="C2" s="355"/>
      <c r="D2" s="356"/>
      <c r="E2" s="337" t="s">
        <v>120</v>
      </c>
      <c r="F2" s="338"/>
      <c r="G2" s="338"/>
      <c r="H2" s="338"/>
      <c r="I2" s="338"/>
      <c r="J2" s="338"/>
      <c r="K2" s="338"/>
      <c r="L2" s="338"/>
      <c r="M2" s="338"/>
      <c r="N2" s="338"/>
      <c r="O2" s="357"/>
      <c r="P2" s="341"/>
    </row>
    <row r="3" spans="1:26" s="4" customFormat="1" ht="20.45" customHeight="1" thickBot="1" x14ac:dyDescent="0.3">
      <c r="A3" s="100"/>
      <c r="B3" s="358"/>
      <c r="C3" s="359"/>
      <c r="D3" s="360"/>
      <c r="E3" s="339"/>
      <c r="F3" s="340"/>
      <c r="G3" s="340"/>
      <c r="H3" s="340"/>
      <c r="I3" s="340"/>
      <c r="J3" s="340"/>
      <c r="K3" s="340"/>
      <c r="L3" s="340"/>
      <c r="M3" s="340"/>
      <c r="N3" s="340"/>
      <c r="O3" s="361"/>
      <c r="P3" s="342"/>
    </row>
    <row r="4" spans="1:26" s="5" customFormat="1" ht="4.5" customHeight="1" thickBot="1" x14ac:dyDescent="0.3">
      <c r="A4" s="3"/>
      <c r="B4" s="309"/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s="12" customFormat="1" ht="28.5" customHeight="1" thickBot="1" x14ac:dyDescent="0.3">
      <c r="A5" s="6"/>
      <c r="B5" s="7" t="s">
        <v>0</v>
      </c>
      <c r="C5" s="310">
        <v>43048</v>
      </c>
      <c r="D5" s="311"/>
      <c r="E5" s="8" t="s">
        <v>1</v>
      </c>
      <c r="F5" s="9">
        <v>1</v>
      </c>
      <c r="G5" s="10" t="s">
        <v>2</v>
      </c>
      <c r="H5" s="312" t="s">
        <v>122</v>
      </c>
      <c r="I5" s="313"/>
      <c r="J5" s="313"/>
      <c r="K5" s="313"/>
      <c r="L5" s="313"/>
      <c r="M5" s="313"/>
      <c r="N5" s="313"/>
      <c r="O5" s="313"/>
      <c r="P5" s="314"/>
      <c r="Q5" s="11" t="s">
        <v>121</v>
      </c>
      <c r="R5" s="11"/>
      <c r="S5" s="11"/>
      <c r="T5" s="11"/>
      <c r="U5" s="11"/>
      <c r="V5" s="11"/>
      <c r="W5" s="11"/>
      <c r="X5" s="11"/>
      <c r="Y5" s="11"/>
      <c r="Z5" s="11"/>
    </row>
    <row r="6" spans="1:26" s="17" customFormat="1" ht="23.25" customHeight="1" thickBot="1" x14ac:dyDescent="0.3">
      <c r="A6" s="13"/>
      <c r="B6" s="293" t="s">
        <v>3</v>
      </c>
      <c r="C6" s="294"/>
      <c r="D6" s="295" t="s">
        <v>107</v>
      </c>
      <c r="E6" s="296"/>
      <c r="F6" s="296"/>
      <c r="G6" s="296"/>
      <c r="H6" s="296"/>
      <c r="I6" s="297"/>
      <c r="J6" s="14" t="s">
        <v>4</v>
      </c>
      <c r="K6" s="298" t="s">
        <v>108</v>
      </c>
      <c r="L6" s="297"/>
      <c r="M6" s="298" t="s">
        <v>109</v>
      </c>
      <c r="N6" s="299"/>
      <c r="O6" s="15" t="s">
        <v>5</v>
      </c>
      <c r="P6" s="16">
        <v>1832</v>
      </c>
    </row>
    <row r="7" spans="1:26" s="12" customFormat="1" ht="30.75" customHeight="1" x14ac:dyDescent="0.25">
      <c r="B7" s="300" t="s">
        <v>6</v>
      </c>
      <c r="C7" s="301" t="s">
        <v>7</v>
      </c>
      <c r="D7" s="271"/>
      <c r="E7" s="18"/>
      <c r="F7" s="302" t="s">
        <v>8</v>
      </c>
      <c r="G7" s="303"/>
      <c r="H7" s="303"/>
      <c r="I7" s="303"/>
      <c r="J7" s="304" t="s">
        <v>9</v>
      </c>
      <c r="K7" s="305"/>
      <c r="L7" s="305"/>
      <c r="M7" s="306"/>
      <c r="N7" s="307" t="s">
        <v>82</v>
      </c>
      <c r="O7" s="308"/>
      <c r="P7" s="19" t="s">
        <v>10</v>
      </c>
    </row>
    <row r="8" spans="1:26" s="12" customFormat="1" ht="16.5" thickBot="1" x14ac:dyDescent="0.3">
      <c r="B8" s="245"/>
      <c r="C8" s="262" t="s">
        <v>11</v>
      </c>
      <c r="D8" s="261"/>
      <c r="E8" s="20" t="s">
        <v>12</v>
      </c>
      <c r="F8" s="272" t="s">
        <v>13</v>
      </c>
      <c r="G8" s="273"/>
      <c r="H8" s="273"/>
      <c r="I8" s="273"/>
      <c r="J8" s="274"/>
      <c r="K8" s="275"/>
      <c r="L8" s="275"/>
      <c r="M8" s="276"/>
      <c r="N8" s="277"/>
      <c r="O8" s="278"/>
      <c r="P8" s="21"/>
    </row>
    <row r="9" spans="1:26" s="12" customFormat="1" ht="14.25" customHeight="1" x14ac:dyDescent="0.25">
      <c r="B9" s="279" t="s">
        <v>14</v>
      </c>
      <c r="C9" s="282" t="s">
        <v>15</v>
      </c>
      <c r="D9" s="283" t="s">
        <v>16</v>
      </c>
      <c r="E9" s="268"/>
      <c r="F9" s="22"/>
      <c r="G9" s="284" t="s">
        <v>17</v>
      </c>
      <c r="H9" s="285" t="s">
        <v>18</v>
      </c>
      <c r="I9" s="271"/>
      <c r="J9" s="23"/>
      <c r="K9" s="282" t="s">
        <v>19</v>
      </c>
      <c r="L9" s="286" t="s">
        <v>20</v>
      </c>
      <c r="M9" s="287"/>
      <c r="N9" s="288"/>
      <c r="O9" s="288"/>
      <c r="P9" s="289"/>
    </row>
    <row r="10" spans="1:26" s="12" customFormat="1" ht="16.5" thickBot="1" x14ac:dyDescent="0.3">
      <c r="B10" s="280"/>
      <c r="C10" s="225"/>
      <c r="D10" s="266" t="s">
        <v>21</v>
      </c>
      <c r="E10" s="261"/>
      <c r="F10" s="24" t="s">
        <v>12</v>
      </c>
      <c r="G10" s="225"/>
      <c r="H10" s="266" t="s">
        <v>22</v>
      </c>
      <c r="I10" s="261"/>
      <c r="J10" s="25" t="s">
        <v>12</v>
      </c>
      <c r="K10" s="225"/>
      <c r="L10" s="290"/>
      <c r="M10" s="291"/>
      <c r="N10" s="291"/>
      <c r="O10" s="291"/>
      <c r="P10" s="292"/>
    </row>
    <row r="11" spans="1:26" s="12" customFormat="1" ht="18.75" customHeight="1" x14ac:dyDescent="0.25">
      <c r="A11" s="6"/>
      <c r="B11" s="280"/>
      <c r="C11" s="267" t="s">
        <v>23</v>
      </c>
      <c r="D11" s="268"/>
      <c r="E11" s="26">
        <v>0.59375</v>
      </c>
      <c r="F11" s="269" t="s">
        <v>24</v>
      </c>
      <c r="G11" s="268"/>
      <c r="H11" s="27">
        <v>1.25</v>
      </c>
      <c r="I11" s="270" t="s">
        <v>25</v>
      </c>
      <c r="J11" s="271"/>
      <c r="K11" s="27">
        <v>18</v>
      </c>
      <c r="L11" s="267" t="s">
        <v>26</v>
      </c>
      <c r="M11" s="268"/>
      <c r="N11" s="28" t="s">
        <v>110</v>
      </c>
      <c r="O11" s="258" t="s">
        <v>84</v>
      </c>
      <c r="P11" s="259"/>
    </row>
    <row r="12" spans="1:26" s="12" customFormat="1" ht="18.75" customHeight="1" thickBot="1" x14ac:dyDescent="0.3">
      <c r="A12" s="6"/>
      <c r="B12" s="281"/>
      <c r="C12" s="260" t="s">
        <v>27</v>
      </c>
      <c r="D12" s="261"/>
      <c r="E12" s="26">
        <v>0.70138888888888884</v>
      </c>
      <c r="F12" s="262" t="s">
        <v>28</v>
      </c>
      <c r="G12" s="261"/>
      <c r="H12" s="27">
        <v>1.25</v>
      </c>
      <c r="I12" s="263" t="s">
        <v>29</v>
      </c>
      <c r="J12" s="261"/>
      <c r="K12" s="26">
        <v>0.60763888888888895</v>
      </c>
      <c r="L12" s="260" t="s">
        <v>30</v>
      </c>
      <c r="M12" s="261"/>
      <c r="N12" s="29">
        <v>0.2</v>
      </c>
      <c r="O12" s="264">
        <v>0.3</v>
      </c>
      <c r="P12" s="265"/>
    </row>
    <row r="13" spans="1:26" s="12" customFormat="1" ht="21" customHeight="1" x14ac:dyDescent="0.25">
      <c r="A13" s="6"/>
      <c r="B13" s="243" t="s">
        <v>31</v>
      </c>
      <c r="C13" s="246" t="s">
        <v>85</v>
      </c>
      <c r="D13" s="247"/>
      <c r="E13" s="247"/>
      <c r="F13" s="248" t="s">
        <v>86</v>
      </c>
      <c r="G13" s="247"/>
      <c r="H13" s="247"/>
      <c r="I13" s="247"/>
      <c r="J13" s="248" t="s">
        <v>87</v>
      </c>
      <c r="K13" s="247"/>
      <c r="L13" s="247"/>
      <c r="M13" s="247"/>
      <c r="N13" s="249" t="s">
        <v>88</v>
      </c>
      <c r="O13" s="247"/>
      <c r="P13" s="250"/>
      <c r="Q13" s="30"/>
      <c r="R13" s="11"/>
      <c r="S13" s="11"/>
      <c r="T13" s="11"/>
      <c r="U13" s="11"/>
      <c r="V13" s="11"/>
      <c r="W13" s="11"/>
      <c r="X13" s="11"/>
      <c r="Y13" s="11"/>
      <c r="Z13" s="11"/>
    </row>
    <row r="14" spans="1:26" s="12" customFormat="1" ht="21" customHeight="1" x14ac:dyDescent="0.25">
      <c r="A14" s="6"/>
      <c r="B14" s="244"/>
      <c r="C14" s="251" t="s">
        <v>89</v>
      </c>
      <c r="D14" s="252"/>
      <c r="E14" s="252"/>
      <c r="F14" s="253" t="s">
        <v>90</v>
      </c>
      <c r="G14" s="252"/>
      <c r="H14" s="252"/>
      <c r="I14" s="252"/>
      <c r="J14" s="254" t="s">
        <v>91</v>
      </c>
      <c r="K14" s="252"/>
      <c r="L14" s="252"/>
      <c r="M14" s="252"/>
      <c r="N14" s="255"/>
      <c r="O14" s="240"/>
      <c r="P14" s="256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s="12" customFormat="1" ht="21" customHeight="1" thickBot="1" x14ac:dyDescent="0.3">
      <c r="A15" s="6"/>
      <c r="B15" s="245"/>
      <c r="C15" s="257" t="s">
        <v>92</v>
      </c>
      <c r="D15" s="227"/>
      <c r="E15" s="227"/>
      <c r="F15" s="227" t="s">
        <v>93</v>
      </c>
      <c r="G15" s="228"/>
      <c r="H15" s="228"/>
      <c r="I15" s="228"/>
      <c r="J15" s="227" t="s">
        <v>32</v>
      </c>
      <c r="K15" s="228"/>
      <c r="L15" s="228"/>
      <c r="M15" s="228"/>
      <c r="N15" s="229"/>
      <c r="O15" s="230"/>
      <c r="P15" s="23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s="12" customFormat="1" ht="16.5" customHeight="1" x14ac:dyDescent="0.25">
      <c r="A16" s="6"/>
      <c r="B16" s="232" t="s">
        <v>33</v>
      </c>
      <c r="C16" s="234" t="s">
        <v>34</v>
      </c>
      <c r="D16" s="234" t="s">
        <v>94</v>
      </c>
      <c r="E16" s="236" t="s">
        <v>35</v>
      </c>
      <c r="F16" s="237" t="s">
        <v>95</v>
      </c>
      <c r="G16" s="238"/>
      <c r="H16" s="234" t="s">
        <v>36</v>
      </c>
      <c r="I16" s="241" t="s">
        <v>37</v>
      </c>
      <c r="J16" s="31" t="s">
        <v>96</v>
      </c>
      <c r="K16" s="32"/>
      <c r="L16" s="33" t="s">
        <v>97</v>
      </c>
      <c r="M16" s="33" t="s">
        <v>98</v>
      </c>
      <c r="N16" s="33" t="s">
        <v>98</v>
      </c>
      <c r="O16" s="33" t="s">
        <v>99</v>
      </c>
      <c r="P16" s="34" t="s">
        <v>38</v>
      </c>
    </row>
    <row r="17" spans="1:26" s="12" customFormat="1" ht="13.5" customHeight="1" thickBot="1" x14ac:dyDescent="0.3">
      <c r="A17" s="35"/>
      <c r="B17" s="233"/>
      <c r="C17" s="235"/>
      <c r="D17" s="235"/>
      <c r="E17" s="235"/>
      <c r="F17" s="239"/>
      <c r="G17" s="240"/>
      <c r="H17" s="235"/>
      <c r="I17" s="242"/>
      <c r="J17" s="36" t="s">
        <v>39</v>
      </c>
      <c r="K17" s="37" t="s">
        <v>40</v>
      </c>
      <c r="L17" s="37" t="s">
        <v>100</v>
      </c>
      <c r="M17" s="37" t="s">
        <v>101</v>
      </c>
      <c r="N17" s="37" t="s">
        <v>41</v>
      </c>
      <c r="O17" s="37" t="s">
        <v>42</v>
      </c>
      <c r="P17" s="38" t="s">
        <v>43</v>
      </c>
    </row>
    <row r="18" spans="1:26" s="47" customFormat="1" ht="13.5" customHeight="1" thickBot="1" x14ac:dyDescent="0.3">
      <c r="A18" s="39"/>
      <c r="B18" s="40"/>
      <c r="C18" s="41">
        <f>+O12</f>
        <v>0.3</v>
      </c>
      <c r="D18" s="41">
        <v>0.2</v>
      </c>
      <c r="E18" s="42"/>
      <c r="F18" s="43"/>
      <c r="G18" s="48"/>
      <c r="H18" s="44"/>
      <c r="I18" s="45"/>
      <c r="J18" s="49"/>
      <c r="K18" s="42"/>
      <c r="L18" s="42"/>
      <c r="M18" s="42"/>
      <c r="N18" s="42"/>
      <c r="O18" s="42"/>
      <c r="P18" s="46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s="47" customFormat="1" ht="13.5" customHeight="1" x14ac:dyDescent="0.25">
      <c r="A19" s="39"/>
      <c r="B19" s="223">
        <v>1</v>
      </c>
      <c r="C19" s="226">
        <f>+C18+$N$12</f>
        <v>0.5</v>
      </c>
      <c r="D19" s="203">
        <v>0.21299999999999999</v>
      </c>
      <c r="E19" s="203">
        <v>0.20499999999999999</v>
      </c>
      <c r="F19" s="50" t="s">
        <v>44</v>
      </c>
      <c r="G19" s="51">
        <v>0</v>
      </c>
      <c r="H19" s="52"/>
      <c r="I19" s="53"/>
      <c r="J19" s="54">
        <v>0.19800000000000001</v>
      </c>
      <c r="K19" s="203">
        <f>+IF(E19&lt;=0.12,(J21),(IF(E19&lt;0.16,((J20+2*J21+J22)/4),IF(E19&gt;=0.16,((J19+3*J20+2*J21+3*J22+J23)/10)))))</f>
        <v>0.36219999999999997</v>
      </c>
      <c r="L19" s="203">
        <f>ROUND(+(D18+D19)/2*(C19-C18),3)</f>
        <v>4.1000000000000002E-2</v>
      </c>
      <c r="M19" s="203">
        <f>ROUND(+K19*L19,4)</f>
        <v>1.49E-2</v>
      </c>
      <c r="N19" s="206">
        <f>ROUND(+M19/$M$83*100,2)</f>
        <v>18.98</v>
      </c>
      <c r="O19" s="207"/>
      <c r="P19" s="208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s="47" customFormat="1" ht="13.5" customHeight="1" x14ac:dyDescent="0.25">
      <c r="A20" s="39"/>
      <c r="B20" s="224"/>
      <c r="C20" s="204"/>
      <c r="D20" s="204"/>
      <c r="E20" s="204"/>
      <c r="F20" s="55" t="s">
        <v>45</v>
      </c>
      <c r="G20" s="56">
        <f>IF(E19&lt;0.125,"NA",IF(0.125&lt;=E19,(0.2*E19)))</f>
        <v>4.1000000000000002E-2</v>
      </c>
      <c r="H20" s="57"/>
      <c r="I20" s="58"/>
      <c r="J20" s="59">
        <v>0.33800000000000002</v>
      </c>
      <c r="K20" s="204"/>
      <c r="L20" s="204"/>
      <c r="M20" s="204"/>
      <c r="N20" s="204"/>
      <c r="O20" s="204"/>
      <c r="P20" s="20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s="47" customFormat="1" ht="13.5" customHeight="1" x14ac:dyDescent="0.25">
      <c r="A21" s="39"/>
      <c r="B21" s="224"/>
      <c r="C21" s="204"/>
      <c r="D21" s="204"/>
      <c r="E21" s="204"/>
      <c r="F21" s="55" t="s">
        <v>46</v>
      </c>
      <c r="G21" s="56">
        <f>+E19*0.4</f>
        <v>8.2000000000000003E-2</v>
      </c>
      <c r="H21" s="57"/>
      <c r="I21" s="58"/>
      <c r="J21" s="59">
        <v>0.4</v>
      </c>
      <c r="K21" s="204"/>
      <c r="L21" s="204"/>
      <c r="M21" s="204"/>
      <c r="N21" s="204"/>
      <c r="O21" s="204"/>
      <c r="P21" s="20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s="47" customFormat="1" ht="13.5" customHeight="1" x14ac:dyDescent="0.25">
      <c r="A22" s="39"/>
      <c r="B22" s="224"/>
      <c r="C22" s="204"/>
      <c r="D22" s="204"/>
      <c r="E22" s="204"/>
      <c r="F22" s="55" t="s">
        <v>47</v>
      </c>
      <c r="G22" s="56">
        <f>IF(E19&lt;0.125,"NA",IF(0.125&lt;=E19,(0.8*E19)))</f>
        <v>0.16400000000000001</v>
      </c>
      <c r="H22" s="57"/>
      <c r="I22" s="58"/>
      <c r="J22" s="59">
        <v>0.41</v>
      </c>
      <c r="K22" s="204"/>
      <c r="L22" s="204"/>
      <c r="M22" s="204"/>
      <c r="N22" s="204"/>
      <c r="O22" s="204"/>
      <c r="P22" s="20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s="47" customFormat="1" ht="13.5" customHeight="1" thickBot="1" x14ac:dyDescent="0.3">
      <c r="A23" s="39"/>
      <c r="B23" s="225"/>
      <c r="C23" s="205"/>
      <c r="D23" s="205"/>
      <c r="E23" s="205"/>
      <c r="F23" s="60" t="s">
        <v>48</v>
      </c>
      <c r="G23" s="61">
        <f>+E19</f>
        <v>0.20499999999999999</v>
      </c>
      <c r="H23" s="62"/>
      <c r="I23" s="63"/>
      <c r="J23" s="64">
        <v>0.38</v>
      </c>
      <c r="K23" s="205"/>
      <c r="L23" s="205"/>
      <c r="M23" s="205"/>
      <c r="N23" s="205"/>
      <c r="O23" s="205"/>
      <c r="P23" s="210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s="47" customFormat="1" ht="13.5" customHeight="1" x14ac:dyDescent="0.25">
      <c r="A24" s="39"/>
      <c r="B24" s="223">
        <v>2</v>
      </c>
      <c r="C24" s="226">
        <f>+C19+$N$12</f>
        <v>0.7</v>
      </c>
      <c r="D24" s="203">
        <v>0.20599999999999999</v>
      </c>
      <c r="E24" s="203">
        <v>0.2</v>
      </c>
      <c r="F24" s="50" t="s">
        <v>44</v>
      </c>
      <c r="G24" s="51">
        <v>0</v>
      </c>
      <c r="H24" s="52"/>
      <c r="I24" s="53"/>
      <c r="J24" s="54">
        <v>0.13500000000000001</v>
      </c>
      <c r="K24" s="203">
        <f t="shared" ref="K24" si="0">+IF(E24&lt;=0.12,(J26),(IF(E24&lt;0.16,((J25+2*J26+J27)/4),IF(E24&gt;=0.16,((J24+3*J25+2*J26+3*J27+J28)/10)))))</f>
        <v>0.36459999999999998</v>
      </c>
      <c r="L24" s="203">
        <f>ROUND(+(D19+D24)/2*(C24-C19),3)</f>
        <v>4.2000000000000003E-2</v>
      </c>
      <c r="M24" s="203">
        <f t="shared" ref="M24" si="1">ROUND(+K24*L24,4)</f>
        <v>1.5299999999999999E-2</v>
      </c>
      <c r="N24" s="206">
        <f t="shared" ref="N24" si="2">ROUND(+M24/$M$83*100,2)</f>
        <v>19.489999999999998</v>
      </c>
      <c r="O24" s="207"/>
      <c r="P24" s="208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s="47" customFormat="1" ht="13.5" customHeight="1" x14ac:dyDescent="0.25">
      <c r="A25" s="39"/>
      <c r="B25" s="224"/>
      <c r="C25" s="204"/>
      <c r="D25" s="204"/>
      <c r="E25" s="204"/>
      <c r="F25" s="55" t="s">
        <v>45</v>
      </c>
      <c r="G25" s="56">
        <f t="shared" ref="G25" si="3">IF(E24&lt;0.125,"NA",IF(0.125&lt;=E24,(0.2*E24)))</f>
        <v>4.0000000000000008E-2</v>
      </c>
      <c r="H25" s="57"/>
      <c r="I25" s="58"/>
      <c r="J25" s="59">
        <v>0.315</v>
      </c>
      <c r="K25" s="204"/>
      <c r="L25" s="204"/>
      <c r="M25" s="204"/>
      <c r="N25" s="204"/>
      <c r="O25" s="204"/>
      <c r="P25" s="20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s="47" customFormat="1" ht="13.5" customHeight="1" x14ac:dyDescent="0.25">
      <c r="A26" s="39"/>
      <c r="B26" s="224"/>
      <c r="C26" s="204"/>
      <c r="D26" s="204"/>
      <c r="E26" s="204"/>
      <c r="F26" s="55" t="s">
        <v>46</v>
      </c>
      <c r="G26" s="56">
        <f t="shared" ref="G26" si="4">+E24*0.4</f>
        <v>8.0000000000000016E-2</v>
      </c>
      <c r="H26" s="57"/>
      <c r="I26" s="58"/>
      <c r="J26" s="59">
        <v>0.43</v>
      </c>
      <c r="K26" s="204"/>
      <c r="L26" s="204"/>
      <c r="M26" s="204"/>
      <c r="N26" s="204"/>
      <c r="O26" s="204"/>
      <c r="P26" s="20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s="47" customFormat="1" ht="13.5" customHeight="1" x14ac:dyDescent="0.25">
      <c r="A27" s="39"/>
      <c r="B27" s="224"/>
      <c r="C27" s="204"/>
      <c r="D27" s="204"/>
      <c r="E27" s="204"/>
      <c r="F27" s="55" t="s">
        <v>47</v>
      </c>
      <c r="G27" s="56">
        <f t="shared" ref="G27" si="5">IF(E24&lt;0.125,"NA",IF(0.125&lt;=E24,(0.8*E24)))</f>
        <v>0.16000000000000003</v>
      </c>
      <c r="H27" s="57"/>
      <c r="I27" s="58"/>
      <c r="J27" s="59">
        <v>0.45800000000000002</v>
      </c>
      <c r="K27" s="204"/>
      <c r="L27" s="204"/>
      <c r="M27" s="204"/>
      <c r="N27" s="204"/>
      <c r="O27" s="204"/>
      <c r="P27" s="20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s="47" customFormat="1" ht="13.5" customHeight="1" thickBot="1" x14ac:dyDescent="0.3">
      <c r="A28" s="39"/>
      <c r="B28" s="225"/>
      <c r="C28" s="205"/>
      <c r="D28" s="205"/>
      <c r="E28" s="205"/>
      <c r="F28" s="60" t="s">
        <v>48</v>
      </c>
      <c r="G28" s="61">
        <f t="shared" ref="G28" si="6">+E24</f>
        <v>0.2</v>
      </c>
      <c r="H28" s="62"/>
      <c r="I28" s="63"/>
      <c r="J28" s="64">
        <v>0.33200000000000002</v>
      </c>
      <c r="K28" s="205"/>
      <c r="L28" s="205"/>
      <c r="M28" s="205"/>
      <c r="N28" s="205"/>
      <c r="O28" s="205"/>
      <c r="P28" s="210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s="47" customFormat="1" ht="13.5" customHeight="1" x14ac:dyDescent="0.25">
      <c r="A29" s="39"/>
      <c r="B29" s="223">
        <v>3</v>
      </c>
      <c r="C29" s="226">
        <f>+C24+$N$12</f>
        <v>0.89999999999999991</v>
      </c>
      <c r="D29" s="203">
        <v>0.222</v>
      </c>
      <c r="E29" s="203">
        <v>0.20799999999999999</v>
      </c>
      <c r="F29" s="50" t="s">
        <v>44</v>
      </c>
      <c r="G29" s="51">
        <v>0</v>
      </c>
      <c r="H29" s="52"/>
      <c r="I29" s="53"/>
      <c r="J29" s="54">
        <v>0.115</v>
      </c>
      <c r="K29" s="203">
        <f t="shared" ref="K29" si="7">+IF(E29&lt;=0.12,(J31),(IF(E29&lt;0.16,((J30+2*J31+J32)/4),IF(E29&gt;=0.16,((J29+3*J30+2*J31+3*J32+J33)/10)))))</f>
        <v>0.3473</v>
      </c>
      <c r="L29" s="203">
        <f t="shared" ref="L29" si="8">ROUND(+(D24+D29)/2*(C29-C24),3)</f>
        <v>4.2999999999999997E-2</v>
      </c>
      <c r="M29" s="203">
        <f t="shared" ref="M29" si="9">ROUND(+K29*L29,4)</f>
        <v>1.49E-2</v>
      </c>
      <c r="N29" s="206">
        <f t="shared" ref="N29" si="10">ROUND(+M29/$M$83*100,2)</f>
        <v>18.98</v>
      </c>
      <c r="O29" s="207"/>
      <c r="P29" s="208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s="47" customFormat="1" ht="13.5" customHeight="1" x14ac:dyDescent="0.25">
      <c r="A30" s="39"/>
      <c r="B30" s="224"/>
      <c r="C30" s="204"/>
      <c r="D30" s="204"/>
      <c r="E30" s="204"/>
      <c r="F30" s="55" t="s">
        <v>45</v>
      </c>
      <c r="G30" s="56">
        <f t="shared" ref="G30" si="11">IF(E29&lt;0.125,"NA",IF(0.125&lt;=E29,(0.2*E29)))</f>
        <v>4.1599999999999998E-2</v>
      </c>
      <c r="H30" s="57"/>
      <c r="I30" s="58"/>
      <c r="J30" s="59">
        <v>0.17399999999999999</v>
      </c>
      <c r="K30" s="204"/>
      <c r="L30" s="204"/>
      <c r="M30" s="204"/>
      <c r="N30" s="204"/>
      <c r="O30" s="204"/>
      <c r="P30" s="20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s="47" customFormat="1" ht="13.5" customHeight="1" x14ac:dyDescent="0.25">
      <c r="A31" s="39"/>
      <c r="B31" s="224"/>
      <c r="C31" s="204"/>
      <c r="D31" s="204"/>
      <c r="E31" s="204"/>
      <c r="F31" s="55" t="s">
        <v>46</v>
      </c>
      <c r="G31" s="56">
        <f t="shared" ref="G31" si="12">+E29*0.4</f>
        <v>8.3199999999999996E-2</v>
      </c>
      <c r="H31" s="57"/>
      <c r="I31" s="58"/>
      <c r="J31" s="59">
        <v>0.30299999999999999</v>
      </c>
      <c r="K31" s="204"/>
      <c r="L31" s="204"/>
      <c r="M31" s="204"/>
      <c r="N31" s="204"/>
      <c r="O31" s="204"/>
      <c r="P31" s="20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s="47" customFormat="1" ht="13.5" customHeight="1" x14ac:dyDescent="0.25">
      <c r="A32" s="39"/>
      <c r="B32" s="224"/>
      <c r="C32" s="204"/>
      <c r="D32" s="204"/>
      <c r="E32" s="204"/>
      <c r="F32" s="55" t="s">
        <v>47</v>
      </c>
      <c r="G32" s="56">
        <f t="shared" ref="G32" si="13">IF(E29&lt;0.125,"NA",IF(0.125&lt;=E29,(0.8*E29)))</f>
        <v>0.16639999999999999</v>
      </c>
      <c r="H32" s="57"/>
      <c r="I32" s="58"/>
      <c r="J32" s="59">
        <v>0.57499999999999996</v>
      </c>
      <c r="K32" s="204"/>
      <c r="L32" s="204"/>
      <c r="M32" s="204"/>
      <c r="N32" s="204"/>
      <c r="O32" s="204"/>
      <c r="P32" s="20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s="47" customFormat="1" ht="13.5" customHeight="1" thickBot="1" x14ac:dyDescent="0.3">
      <c r="A33" s="39"/>
      <c r="B33" s="225"/>
      <c r="C33" s="205"/>
      <c r="D33" s="205"/>
      <c r="E33" s="205"/>
      <c r="F33" s="60" t="s">
        <v>48</v>
      </c>
      <c r="G33" s="61">
        <f t="shared" ref="G33" si="14">+E29</f>
        <v>0.20799999999999999</v>
      </c>
      <c r="H33" s="62"/>
      <c r="I33" s="63"/>
      <c r="J33" s="64">
        <v>0.505</v>
      </c>
      <c r="K33" s="205"/>
      <c r="L33" s="205"/>
      <c r="M33" s="205"/>
      <c r="N33" s="205"/>
      <c r="O33" s="205"/>
      <c r="P33" s="210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s="47" customFormat="1" ht="13.5" customHeight="1" x14ac:dyDescent="0.25">
      <c r="A34" s="39"/>
      <c r="B34" s="223">
        <v>4</v>
      </c>
      <c r="C34" s="226">
        <f>+C29+$N$12</f>
        <v>1.0999999999999999</v>
      </c>
      <c r="D34" s="203">
        <v>0.214</v>
      </c>
      <c r="E34" s="203">
        <v>0.223</v>
      </c>
      <c r="F34" s="50" t="s">
        <v>44</v>
      </c>
      <c r="G34" s="51">
        <v>0</v>
      </c>
      <c r="H34" s="52"/>
      <c r="I34" s="53"/>
      <c r="J34" s="54"/>
      <c r="K34" s="203"/>
      <c r="L34" s="203"/>
      <c r="M34" s="203"/>
      <c r="N34" s="206"/>
      <c r="O34" s="207"/>
      <c r="P34" s="208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s="47" customFormat="1" ht="13.5" customHeight="1" x14ac:dyDescent="0.25">
      <c r="A35" s="39"/>
      <c r="B35" s="224"/>
      <c r="C35" s="204"/>
      <c r="D35" s="204"/>
      <c r="E35" s="204"/>
      <c r="F35" s="55" t="s">
        <v>45</v>
      </c>
      <c r="G35" s="56">
        <f t="shared" ref="G35" si="15">IF(E34&lt;0.125,"NA",IF(0.125&lt;=E34,(0.2*E34)))</f>
        <v>4.4600000000000001E-2</v>
      </c>
      <c r="H35" s="57"/>
      <c r="I35" s="58"/>
      <c r="J35" s="59"/>
      <c r="K35" s="204"/>
      <c r="L35" s="204"/>
      <c r="M35" s="204"/>
      <c r="N35" s="204"/>
      <c r="O35" s="204"/>
      <c r="P35" s="20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s="47" customFormat="1" ht="13.5" customHeight="1" x14ac:dyDescent="0.25">
      <c r="A36" s="39"/>
      <c r="B36" s="224"/>
      <c r="C36" s="204"/>
      <c r="D36" s="204"/>
      <c r="E36" s="204"/>
      <c r="F36" s="55" t="s">
        <v>46</v>
      </c>
      <c r="G36" s="56">
        <f t="shared" ref="G36" si="16">+E34*0.4</f>
        <v>8.9200000000000002E-2</v>
      </c>
      <c r="H36" s="57"/>
      <c r="I36" s="58"/>
      <c r="J36" s="59"/>
      <c r="K36" s="204"/>
      <c r="L36" s="204"/>
      <c r="M36" s="204"/>
      <c r="N36" s="204"/>
      <c r="O36" s="204"/>
      <c r="P36" s="20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s="47" customFormat="1" ht="13.5" customHeight="1" x14ac:dyDescent="0.25">
      <c r="A37" s="39"/>
      <c r="B37" s="224"/>
      <c r="C37" s="204"/>
      <c r="D37" s="204"/>
      <c r="E37" s="204"/>
      <c r="F37" s="55" t="s">
        <v>47</v>
      </c>
      <c r="G37" s="56">
        <f t="shared" ref="G37" si="17">IF(E34&lt;0.125,"NA",IF(0.125&lt;=E34,(0.8*E34)))</f>
        <v>0.1784</v>
      </c>
      <c r="H37" s="57"/>
      <c r="I37" s="58"/>
      <c r="J37" s="59"/>
      <c r="K37" s="204"/>
      <c r="L37" s="204"/>
      <c r="M37" s="204"/>
      <c r="N37" s="204"/>
      <c r="O37" s="204"/>
      <c r="P37" s="20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s="47" customFormat="1" ht="13.5" customHeight="1" thickBot="1" x14ac:dyDescent="0.3">
      <c r="A38" s="39"/>
      <c r="B38" s="225"/>
      <c r="C38" s="205"/>
      <c r="D38" s="205"/>
      <c r="E38" s="205"/>
      <c r="F38" s="60" t="s">
        <v>48</v>
      </c>
      <c r="G38" s="61">
        <f t="shared" ref="G38" si="18">+E34</f>
        <v>0.223</v>
      </c>
      <c r="H38" s="62"/>
      <c r="I38" s="63"/>
      <c r="J38" s="64"/>
      <c r="K38" s="205"/>
      <c r="L38" s="205"/>
      <c r="M38" s="205"/>
      <c r="N38" s="205"/>
      <c r="O38" s="205"/>
      <c r="P38" s="210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s="47" customFormat="1" ht="13.5" customHeight="1" x14ac:dyDescent="0.25">
      <c r="A39" s="39"/>
      <c r="B39" s="223">
        <v>5</v>
      </c>
      <c r="C39" s="226">
        <f>+C34+$N$12</f>
        <v>1.2999999999999998</v>
      </c>
      <c r="D39" s="203">
        <v>0.16600000000000001</v>
      </c>
      <c r="E39" s="203">
        <v>0.19500000000000001</v>
      </c>
      <c r="F39" s="50" t="s">
        <v>44</v>
      </c>
      <c r="G39" s="51">
        <v>0</v>
      </c>
      <c r="H39" s="52"/>
      <c r="I39" s="53"/>
      <c r="J39" s="54">
        <v>8.7999999999999995E-2</v>
      </c>
      <c r="K39" s="203">
        <f t="shared" ref="K39" si="19">+IF(E39&lt;=0.12,(J41),(IF(E39&lt;0.16,((J40+2*J41+J42)/4),IF(E39&gt;=0.16,((J39+3*J40+2*J41+3*J42+J43)/10)))))</f>
        <v>0.29680000000000001</v>
      </c>
      <c r="L39" s="203">
        <f t="shared" ref="L39" si="20">ROUND(+(D34+D39)/2*(C39-C34),3)</f>
        <v>3.7999999999999999E-2</v>
      </c>
      <c r="M39" s="203">
        <f t="shared" ref="M39" si="21">ROUND(+K39*L39,4)</f>
        <v>1.1299999999999999E-2</v>
      </c>
      <c r="N39" s="206">
        <f t="shared" ref="N39" si="22">ROUND(+M39/$M$83*100,2)</f>
        <v>14.39</v>
      </c>
      <c r="O39" s="207"/>
      <c r="P39" s="208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s="47" customFormat="1" ht="13.5" customHeight="1" x14ac:dyDescent="0.25">
      <c r="A40" s="39"/>
      <c r="B40" s="224"/>
      <c r="C40" s="204"/>
      <c r="D40" s="204"/>
      <c r="E40" s="204"/>
      <c r="F40" s="55" t="s">
        <v>45</v>
      </c>
      <c r="G40" s="56">
        <f t="shared" ref="G40" si="23">IF(E39&lt;0.125,"NA",IF(0.125&lt;=E39,(0.2*E39)))</f>
        <v>3.9000000000000007E-2</v>
      </c>
      <c r="H40" s="57"/>
      <c r="I40" s="58"/>
      <c r="J40" s="59">
        <v>0.191</v>
      </c>
      <c r="K40" s="204"/>
      <c r="L40" s="204"/>
      <c r="M40" s="204"/>
      <c r="N40" s="204"/>
      <c r="O40" s="204"/>
      <c r="P40" s="20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s="47" customFormat="1" ht="13.5" customHeight="1" x14ac:dyDescent="0.25">
      <c r="A41" s="39"/>
      <c r="B41" s="224"/>
      <c r="C41" s="204"/>
      <c r="D41" s="204"/>
      <c r="E41" s="204"/>
      <c r="F41" s="55" t="s">
        <v>46</v>
      </c>
      <c r="G41" s="56">
        <f t="shared" ref="G41" si="24">+E39*0.4</f>
        <v>7.8000000000000014E-2</v>
      </c>
      <c r="H41" s="57"/>
      <c r="I41" s="58"/>
      <c r="J41" s="59">
        <v>0.32200000000000001</v>
      </c>
      <c r="K41" s="204"/>
      <c r="L41" s="204"/>
      <c r="M41" s="204"/>
      <c r="N41" s="204"/>
      <c r="O41" s="204"/>
      <c r="P41" s="20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s="47" customFormat="1" ht="13.5" customHeight="1" x14ac:dyDescent="0.25">
      <c r="A42" s="39"/>
      <c r="B42" s="224"/>
      <c r="C42" s="204"/>
      <c r="D42" s="204"/>
      <c r="E42" s="204"/>
      <c r="F42" s="55" t="s">
        <v>47</v>
      </c>
      <c r="G42" s="56">
        <f t="shared" ref="G42" si="25">IF(E39&lt;0.125,"NA",IF(0.125&lt;=E39,(0.8*E39)))</f>
        <v>0.15600000000000003</v>
      </c>
      <c r="H42" s="57"/>
      <c r="I42" s="58"/>
      <c r="J42" s="59">
        <v>0.40200000000000002</v>
      </c>
      <c r="K42" s="204"/>
      <c r="L42" s="204"/>
      <c r="M42" s="204"/>
      <c r="N42" s="204"/>
      <c r="O42" s="204"/>
      <c r="P42" s="20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s="47" customFormat="1" ht="13.5" customHeight="1" thickBot="1" x14ac:dyDescent="0.3">
      <c r="A43" s="39"/>
      <c r="B43" s="225"/>
      <c r="C43" s="205"/>
      <c r="D43" s="205"/>
      <c r="E43" s="205"/>
      <c r="F43" s="60" t="s">
        <v>48</v>
      </c>
      <c r="G43" s="61">
        <f t="shared" ref="G43" si="26">+E39</f>
        <v>0.19500000000000001</v>
      </c>
      <c r="H43" s="62"/>
      <c r="I43" s="63"/>
      <c r="J43" s="64">
        <v>0.45700000000000002</v>
      </c>
      <c r="K43" s="205"/>
      <c r="L43" s="205"/>
      <c r="M43" s="205"/>
      <c r="N43" s="205"/>
      <c r="O43" s="205"/>
      <c r="P43" s="210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s="47" customFormat="1" ht="13.5" customHeight="1" x14ac:dyDescent="0.25">
      <c r="A44" s="39"/>
      <c r="B44" s="223">
        <v>6</v>
      </c>
      <c r="C44" s="226">
        <f>+C39+$N$12</f>
        <v>1.4999999999999998</v>
      </c>
      <c r="D44" s="203">
        <v>9.5000000000000001E-2</v>
      </c>
      <c r="E44" s="203">
        <v>0.113</v>
      </c>
      <c r="F44" s="50" t="s">
        <v>44</v>
      </c>
      <c r="G44" s="51">
        <v>0</v>
      </c>
      <c r="H44" s="52"/>
      <c r="I44" s="53"/>
      <c r="J44" s="54">
        <v>4.7E-2</v>
      </c>
      <c r="K44" s="203">
        <f t="shared" ref="K44" si="27">+IF(E44&lt;=0.12,(J46),(IF(E44&lt;0.16,((J45+2*J46+J47)/4),IF(E44&gt;=0.16,((J44+3*J45+2*J46+3*J47+J48)/10)))))</f>
        <v>0.11799999999999999</v>
      </c>
      <c r="L44" s="203">
        <f t="shared" ref="L44" si="28">ROUND(+(D39+D44)/2*(C44-C39),3)</f>
        <v>2.5999999999999999E-2</v>
      </c>
      <c r="M44" s="203">
        <f t="shared" ref="M44" si="29">ROUND(+K44*L44,4)</f>
        <v>3.0999999999999999E-3</v>
      </c>
      <c r="N44" s="206">
        <f t="shared" ref="N44" si="30">ROUND(+M44/$M$83*100,2)</f>
        <v>3.95</v>
      </c>
      <c r="O44" s="207"/>
      <c r="P44" s="208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s="47" customFormat="1" ht="13.5" customHeight="1" x14ac:dyDescent="0.25">
      <c r="A45" s="39"/>
      <c r="B45" s="224"/>
      <c r="C45" s="204"/>
      <c r="D45" s="204"/>
      <c r="E45" s="204"/>
      <c r="F45" s="55" t="s">
        <v>45</v>
      </c>
      <c r="G45" s="56" t="str">
        <f t="shared" ref="G45" si="31">IF(E44&lt;0.125,"NA",IF(0.125&lt;=E44,(0.2*E44)))</f>
        <v>NA</v>
      </c>
      <c r="H45" s="57"/>
      <c r="I45" s="58"/>
      <c r="J45" s="59"/>
      <c r="K45" s="204"/>
      <c r="L45" s="204"/>
      <c r="M45" s="204"/>
      <c r="N45" s="204"/>
      <c r="O45" s="204"/>
      <c r="P45" s="20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s="47" customFormat="1" ht="13.5" customHeight="1" x14ac:dyDescent="0.25">
      <c r="A46" s="39"/>
      <c r="B46" s="224"/>
      <c r="C46" s="204"/>
      <c r="D46" s="204"/>
      <c r="E46" s="204"/>
      <c r="F46" s="55" t="s">
        <v>46</v>
      </c>
      <c r="G46" s="56">
        <f t="shared" ref="G46" si="32">+E44*0.4</f>
        <v>4.5200000000000004E-2</v>
      </c>
      <c r="H46" s="57"/>
      <c r="I46" s="58"/>
      <c r="J46" s="59">
        <v>0.11799999999999999</v>
      </c>
      <c r="K46" s="204"/>
      <c r="L46" s="204"/>
      <c r="M46" s="204"/>
      <c r="N46" s="204"/>
      <c r="O46" s="204"/>
      <c r="P46" s="20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s="47" customFormat="1" ht="13.5" customHeight="1" x14ac:dyDescent="0.25">
      <c r="A47" s="39"/>
      <c r="B47" s="224"/>
      <c r="C47" s="204"/>
      <c r="D47" s="204"/>
      <c r="E47" s="204"/>
      <c r="F47" s="55" t="s">
        <v>47</v>
      </c>
      <c r="G47" s="56" t="str">
        <f t="shared" ref="G47" si="33">IF(E44&lt;0.125,"NA",IF(0.125&lt;=E44,(0.8*E44)))</f>
        <v>NA</v>
      </c>
      <c r="H47" s="57"/>
      <c r="I47" s="58"/>
      <c r="J47" s="59"/>
      <c r="K47" s="204"/>
      <c r="L47" s="204"/>
      <c r="M47" s="204"/>
      <c r="N47" s="204"/>
      <c r="O47" s="204"/>
      <c r="P47" s="20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s="47" customFormat="1" ht="13.5" customHeight="1" thickBot="1" x14ac:dyDescent="0.3">
      <c r="A48" s="39"/>
      <c r="B48" s="225"/>
      <c r="C48" s="205"/>
      <c r="D48" s="205"/>
      <c r="E48" s="205"/>
      <c r="F48" s="60" t="s">
        <v>48</v>
      </c>
      <c r="G48" s="61">
        <f t="shared" ref="G48" si="34">+E44</f>
        <v>0.113</v>
      </c>
      <c r="H48" s="62"/>
      <c r="I48" s="63"/>
      <c r="J48" s="64">
        <v>0.152</v>
      </c>
      <c r="K48" s="205"/>
      <c r="L48" s="205"/>
      <c r="M48" s="205"/>
      <c r="N48" s="205"/>
      <c r="O48" s="205"/>
      <c r="P48" s="210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s="47" customFormat="1" ht="13.5" customHeight="1" x14ac:dyDescent="0.25">
      <c r="A49" s="39"/>
      <c r="B49" s="223">
        <v>7</v>
      </c>
      <c r="C49" s="226">
        <f>+C44+$N$12</f>
        <v>1.6999999999999997</v>
      </c>
      <c r="D49" s="203">
        <v>4.2000000000000003E-2</v>
      </c>
      <c r="E49" s="203">
        <v>7.0000000000000007E-2</v>
      </c>
      <c r="F49" s="50" t="s">
        <v>44</v>
      </c>
      <c r="G49" s="51">
        <v>0</v>
      </c>
      <c r="H49" s="52"/>
      <c r="I49" s="53"/>
      <c r="J49" s="54"/>
      <c r="K49" s="203">
        <f t="shared" ref="K49" si="35">+IF(E49&lt;=0.12,(J51),(IF(E49&lt;0.16,((J50+2*J51+J52)/4),IF(E49&gt;=0.16,((J49+3*J50+2*J51+3*J52+J53)/10)))))</f>
        <v>0.184</v>
      </c>
      <c r="L49" s="203">
        <f t="shared" ref="L49" si="36">ROUND(+(D44+D49)/2*(C49-C44),3)</f>
        <v>1.4E-2</v>
      </c>
      <c r="M49" s="203">
        <f t="shared" ref="M49" si="37">ROUND(+K49*L49,4)</f>
        <v>2.5999999999999999E-3</v>
      </c>
      <c r="N49" s="206">
        <f t="shared" ref="N49" si="38">ROUND(+M49/$M$83*100,2)</f>
        <v>3.31</v>
      </c>
      <c r="O49" s="207"/>
      <c r="P49" s="208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s="47" customFormat="1" ht="13.5" customHeight="1" x14ac:dyDescent="0.25">
      <c r="A50" s="39"/>
      <c r="B50" s="224"/>
      <c r="C50" s="204"/>
      <c r="D50" s="204"/>
      <c r="E50" s="204"/>
      <c r="F50" s="55" t="s">
        <v>45</v>
      </c>
      <c r="G50" s="56" t="str">
        <f t="shared" ref="G50" si="39">IF(E49&lt;0.125,"NA",IF(0.125&lt;=E49,(0.2*E49)))</f>
        <v>NA</v>
      </c>
      <c r="H50" s="57"/>
      <c r="I50" s="58"/>
      <c r="J50" s="59"/>
      <c r="K50" s="204"/>
      <c r="L50" s="204"/>
      <c r="M50" s="204"/>
      <c r="N50" s="204"/>
      <c r="O50" s="204"/>
      <c r="P50" s="20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s="47" customFormat="1" ht="13.5" customHeight="1" x14ac:dyDescent="0.25">
      <c r="A51" s="39"/>
      <c r="B51" s="224"/>
      <c r="C51" s="204"/>
      <c r="D51" s="204"/>
      <c r="E51" s="204"/>
      <c r="F51" s="55" t="s">
        <v>46</v>
      </c>
      <c r="G51" s="56">
        <f t="shared" ref="G51" si="40">+E49*0.4</f>
        <v>2.8000000000000004E-2</v>
      </c>
      <c r="H51" s="57"/>
      <c r="I51" s="58"/>
      <c r="J51" s="59">
        <v>0.184</v>
      </c>
      <c r="K51" s="204"/>
      <c r="L51" s="204"/>
      <c r="M51" s="204"/>
      <c r="N51" s="204"/>
      <c r="O51" s="204"/>
      <c r="P51" s="20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s="47" customFormat="1" ht="13.5" customHeight="1" x14ac:dyDescent="0.25">
      <c r="A52" s="39"/>
      <c r="B52" s="224"/>
      <c r="C52" s="204"/>
      <c r="D52" s="204"/>
      <c r="E52" s="204"/>
      <c r="F52" s="55" t="s">
        <v>47</v>
      </c>
      <c r="G52" s="56" t="str">
        <f t="shared" ref="G52" si="41">IF(E49&lt;0.125,"NA",IF(0.125&lt;=E49,(0.8*E49)))</f>
        <v>NA</v>
      </c>
      <c r="H52" s="57"/>
      <c r="I52" s="58"/>
      <c r="J52" s="59"/>
      <c r="K52" s="204"/>
      <c r="L52" s="204"/>
      <c r="M52" s="204"/>
      <c r="N52" s="204"/>
      <c r="O52" s="204"/>
      <c r="P52" s="20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s="47" customFormat="1" ht="13.5" customHeight="1" thickBot="1" x14ac:dyDescent="0.3">
      <c r="A53" s="39"/>
      <c r="B53" s="225"/>
      <c r="C53" s="205"/>
      <c r="D53" s="205"/>
      <c r="E53" s="205"/>
      <c r="F53" s="60" t="s">
        <v>48</v>
      </c>
      <c r="G53" s="61">
        <f t="shared" ref="G53" si="42">+E49</f>
        <v>7.0000000000000007E-2</v>
      </c>
      <c r="H53" s="62"/>
      <c r="I53" s="63"/>
      <c r="J53" s="64"/>
      <c r="K53" s="205"/>
      <c r="L53" s="205"/>
      <c r="M53" s="205"/>
      <c r="N53" s="205"/>
      <c r="O53" s="205"/>
      <c r="P53" s="210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s="47" customFormat="1" ht="13.5" customHeight="1" x14ac:dyDescent="0.25">
      <c r="A54" s="39"/>
      <c r="B54" s="223">
        <v>8</v>
      </c>
      <c r="C54" s="226">
        <f>+C49+$N$12</f>
        <v>1.8999999999999997</v>
      </c>
      <c r="D54" s="203">
        <v>2.5000000000000001E-2</v>
      </c>
      <c r="E54" s="203">
        <v>0.04</v>
      </c>
      <c r="F54" s="50" t="s">
        <v>44</v>
      </c>
      <c r="G54" s="51">
        <v>0</v>
      </c>
      <c r="H54" s="52"/>
      <c r="I54" s="53"/>
      <c r="J54" s="54"/>
      <c r="K54" s="203">
        <f t="shared" ref="K54" si="43">+IF(E54&lt;=0.12,(J56),(IF(E54&lt;0.16,((J55+2*J56+J57)/4),IF(E54&gt;=0.16,((J54+3*J55+2*J56+3*J57+J58)/10)))))</f>
        <v>7.4999999999999997E-2</v>
      </c>
      <c r="L54" s="203">
        <f t="shared" ref="L54" si="44">ROUND(+(D49+D54)/2*(C54-C49),3)</f>
        <v>7.0000000000000001E-3</v>
      </c>
      <c r="M54" s="203">
        <f t="shared" ref="M54" si="45">ROUND(+K54*L54,4)</f>
        <v>5.0000000000000001E-4</v>
      </c>
      <c r="N54" s="206">
        <f t="shared" ref="N54" si="46">ROUND(+M54/$M$83*100,2)</f>
        <v>0.64</v>
      </c>
      <c r="O54" s="207"/>
      <c r="P54" s="208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s="47" customFormat="1" ht="13.5" customHeight="1" x14ac:dyDescent="0.25">
      <c r="A55" s="39"/>
      <c r="B55" s="224"/>
      <c r="C55" s="204"/>
      <c r="D55" s="204"/>
      <c r="E55" s="204"/>
      <c r="F55" s="55" t="s">
        <v>45</v>
      </c>
      <c r="G55" s="56" t="str">
        <f t="shared" ref="G55" si="47">IF(E54&lt;0.125,"NA",IF(0.125&lt;=E54,(0.2*E54)))</f>
        <v>NA</v>
      </c>
      <c r="H55" s="57"/>
      <c r="I55" s="58"/>
      <c r="J55" s="59"/>
      <c r="K55" s="204"/>
      <c r="L55" s="204"/>
      <c r="M55" s="204"/>
      <c r="N55" s="204"/>
      <c r="O55" s="204"/>
      <c r="P55" s="20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s="47" customFormat="1" ht="13.5" customHeight="1" x14ac:dyDescent="0.25">
      <c r="A56" s="39"/>
      <c r="B56" s="224"/>
      <c r="C56" s="204"/>
      <c r="D56" s="204"/>
      <c r="E56" s="204"/>
      <c r="F56" s="55" t="s">
        <v>46</v>
      </c>
      <c r="G56" s="56">
        <f t="shared" ref="G56" si="48">+E54*0.4</f>
        <v>1.6E-2</v>
      </c>
      <c r="H56" s="57"/>
      <c r="I56" s="58"/>
      <c r="J56" s="59">
        <v>7.4999999999999997E-2</v>
      </c>
      <c r="K56" s="204"/>
      <c r="L56" s="204"/>
      <c r="M56" s="204"/>
      <c r="N56" s="204"/>
      <c r="O56" s="204"/>
      <c r="P56" s="20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s="47" customFormat="1" ht="13.5" customHeight="1" x14ac:dyDescent="0.25">
      <c r="A57" s="39"/>
      <c r="B57" s="224"/>
      <c r="C57" s="204"/>
      <c r="D57" s="204"/>
      <c r="E57" s="204"/>
      <c r="F57" s="55" t="s">
        <v>47</v>
      </c>
      <c r="G57" s="56" t="str">
        <f t="shared" ref="G57" si="49">IF(E54&lt;0.125,"NA",IF(0.125&lt;=E54,(0.8*E54)))</f>
        <v>NA</v>
      </c>
      <c r="H57" s="57"/>
      <c r="I57" s="58"/>
      <c r="J57" s="59"/>
      <c r="K57" s="204"/>
      <c r="L57" s="204"/>
      <c r="M57" s="204"/>
      <c r="N57" s="204"/>
      <c r="O57" s="204"/>
      <c r="P57" s="20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s="47" customFormat="1" ht="13.5" customHeight="1" thickBot="1" x14ac:dyDescent="0.3">
      <c r="A58" s="39"/>
      <c r="B58" s="225"/>
      <c r="C58" s="205"/>
      <c r="D58" s="205"/>
      <c r="E58" s="205"/>
      <c r="F58" s="60" t="s">
        <v>48</v>
      </c>
      <c r="G58" s="61">
        <f t="shared" ref="G58" si="50">+E54</f>
        <v>0.04</v>
      </c>
      <c r="H58" s="62"/>
      <c r="I58" s="63"/>
      <c r="J58" s="64"/>
      <c r="K58" s="205"/>
      <c r="L58" s="205"/>
      <c r="M58" s="205"/>
      <c r="N58" s="205"/>
      <c r="O58" s="205"/>
      <c r="P58" s="210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s="47" customFormat="1" ht="13.5" customHeight="1" x14ac:dyDescent="0.25">
      <c r="A59" s="39"/>
      <c r="B59" s="223">
        <v>9</v>
      </c>
      <c r="C59" s="226">
        <f>+C54+0.3</f>
        <v>2.1999999999999997</v>
      </c>
      <c r="D59" s="203">
        <v>0</v>
      </c>
      <c r="E59" s="203">
        <v>0.03</v>
      </c>
      <c r="F59" s="50" t="s">
        <v>44</v>
      </c>
      <c r="G59" s="51">
        <v>0</v>
      </c>
      <c r="H59" s="52"/>
      <c r="I59" s="53"/>
      <c r="J59" s="54"/>
      <c r="K59" s="203">
        <f t="shared" ref="K59" si="51">+IF(E59&lt;=0.12,(J61),(IF(E59&lt;0.16,((J60+2*J61+J62)/4),IF(E59&gt;=0.16,((J59+3*J60+2*J61+3*J62+J63)/10)))))</f>
        <v>6.0000000000000001E-3</v>
      </c>
      <c r="L59" s="203">
        <f t="shared" ref="L59" si="52">ROUND(+(D54+D59)/2*(C59-C54),3)</f>
        <v>4.0000000000000001E-3</v>
      </c>
      <c r="M59" s="203">
        <f t="shared" ref="M59" si="53">ROUND(+K59*L59,4)</f>
        <v>0</v>
      </c>
      <c r="N59" s="206">
        <f t="shared" ref="N59" si="54">ROUND(+M59/$M$83*100,2)</f>
        <v>0</v>
      </c>
      <c r="O59" s="207"/>
      <c r="P59" s="208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s="47" customFormat="1" ht="13.5" customHeight="1" x14ac:dyDescent="0.25">
      <c r="A60" s="39"/>
      <c r="B60" s="224"/>
      <c r="C60" s="204"/>
      <c r="D60" s="204"/>
      <c r="E60" s="204"/>
      <c r="F60" s="55" t="s">
        <v>45</v>
      </c>
      <c r="G60" s="56" t="str">
        <f t="shared" ref="G60" si="55">IF(E59&lt;0.125,"NA",IF(0.125&lt;=E59,(0.2*E59)))</f>
        <v>NA</v>
      </c>
      <c r="H60" s="57"/>
      <c r="I60" s="58"/>
      <c r="J60" s="59"/>
      <c r="K60" s="204"/>
      <c r="L60" s="204"/>
      <c r="M60" s="204"/>
      <c r="N60" s="204"/>
      <c r="O60" s="204"/>
      <c r="P60" s="20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s="47" customFormat="1" ht="13.5" customHeight="1" x14ac:dyDescent="0.25">
      <c r="A61" s="39"/>
      <c r="B61" s="224"/>
      <c r="C61" s="204"/>
      <c r="D61" s="204"/>
      <c r="E61" s="204"/>
      <c r="F61" s="55" t="s">
        <v>46</v>
      </c>
      <c r="G61" s="56">
        <f t="shared" ref="G61" si="56">+E59*0.4</f>
        <v>1.2E-2</v>
      </c>
      <c r="H61" s="57"/>
      <c r="I61" s="58"/>
      <c r="J61" s="59">
        <v>6.0000000000000001E-3</v>
      </c>
      <c r="K61" s="204"/>
      <c r="L61" s="204"/>
      <c r="M61" s="204"/>
      <c r="N61" s="204"/>
      <c r="O61" s="204"/>
      <c r="P61" s="20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s="47" customFormat="1" ht="13.5" customHeight="1" x14ac:dyDescent="0.25">
      <c r="A62" s="39"/>
      <c r="B62" s="224"/>
      <c r="C62" s="204"/>
      <c r="D62" s="204"/>
      <c r="E62" s="204"/>
      <c r="F62" s="55" t="s">
        <v>47</v>
      </c>
      <c r="G62" s="56" t="str">
        <f t="shared" ref="G62" si="57">IF(E59&lt;0.125,"NA",IF(0.125&lt;=E59,(0.8*E59)))</f>
        <v>NA</v>
      </c>
      <c r="H62" s="57"/>
      <c r="I62" s="58"/>
      <c r="J62" s="59"/>
      <c r="K62" s="204"/>
      <c r="L62" s="204"/>
      <c r="M62" s="204"/>
      <c r="N62" s="204"/>
      <c r="O62" s="204"/>
      <c r="P62" s="20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s="47" customFormat="1" ht="13.5" customHeight="1" thickBot="1" x14ac:dyDescent="0.3">
      <c r="A63" s="39"/>
      <c r="B63" s="225"/>
      <c r="C63" s="205"/>
      <c r="D63" s="205"/>
      <c r="E63" s="205"/>
      <c r="F63" s="60" t="s">
        <v>48</v>
      </c>
      <c r="G63" s="61">
        <f t="shared" ref="G63" si="58">+E59</f>
        <v>0.03</v>
      </c>
      <c r="H63" s="62"/>
      <c r="I63" s="63"/>
      <c r="J63" s="64"/>
      <c r="K63" s="205"/>
      <c r="L63" s="205"/>
      <c r="M63" s="205"/>
      <c r="N63" s="205"/>
      <c r="O63" s="205"/>
      <c r="P63" s="210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s="65" customFormat="1" ht="14.1" customHeight="1" x14ac:dyDescent="0.2">
      <c r="B64" s="211" t="s">
        <v>49</v>
      </c>
      <c r="C64" s="214"/>
      <c r="D64" s="215"/>
      <c r="E64" s="215"/>
      <c r="F64" s="215"/>
      <c r="G64" s="215"/>
      <c r="H64" s="215"/>
      <c r="I64" s="215"/>
      <c r="J64" s="215"/>
      <c r="K64" s="215"/>
      <c r="L64" s="215"/>
      <c r="M64" s="215"/>
      <c r="N64" s="215"/>
      <c r="O64" s="215"/>
      <c r="P64" s="216"/>
    </row>
    <row r="65" spans="1:26" s="65" customFormat="1" ht="14.1" customHeight="1" x14ac:dyDescent="0.2">
      <c r="B65" s="212"/>
      <c r="C65" s="217"/>
      <c r="D65" s="218"/>
      <c r="E65" s="218"/>
      <c r="F65" s="218"/>
      <c r="G65" s="218"/>
      <c r="H65" s="218"/>
      <c r="I65" s="218"/>
      <c r="J65" s="218"/>
      <c r="K65" s="218"/>
      <c r="L65" s="218"/>
      <c r="M65" s="218"/>
      <c r="N65" s="218"/>
      <c r="O65" s="218"/>
      <c r="P65" s="219"/>
    </row>
    <row r="66" spans="1:26" s="65" customFormat="1" ht="14.1" customHeight="1" x14ac:dyDescent="0.2">
      <c r="B66" s="212"/>
      <c r="C66" s="217"/>
      <c r="D66" s="218"/>
      <c r="E66" s="218"/>
      <c r="F66" s="218"/>
      <c r="G66" s="218"/>
      <c r="H66" s="218"/>
      <c r="I66" s="218"/>
      <c r="J66" s="218"/>
      <c r="K66" s="218"/>
      <c r="L66" s="218"/>
      <c r="M66" s="218"/>
      <c r="N66" s="218"/>
      <c r="O66" s="218"/>
      <c r="P66" s="219"/>
    </row>
    <row r="67" spans="1:26" s="65" customFormat="1" ht="14.1" customHeight="1" x14ac:dyDescent="0.2">
      <c r="B67" s="212"/>
      <c r="C67" s="217"/>
      <c r="D67" s="218"/>
      <c r="E67" s="218"/>
      <c r="F67" s="218"/>
      <c r="G67" s="218"/>
      <c r="H67" s="218"/>
      <c r="I67" s="218"/>
      <c r="J67" s="218"/>
      <c r="K67" s="218"/>
      <c r="L67" s="218"/>
      <c r="M67" s="218"/>
      <c r="N67" s="218"/>
      <c r="O67" s="218"/>
      <c r="P67" s="219"/>
    </row>
    <row r="68" spans="1:26" s="65" customFormat="1" ht="14.1" customHeight="1" x14ac:dyDescent="0.2">
      <c r="B68" s="212"/>
      <c r="C68" s="217"/>
      <c r="D68" s="218"/>
      <c r="E68" s="218"/>
      <c r="F68" s="218"/>
      <c r="G68" s="218"/>
      <c r="H68" s="218"/>
      <c r="I68" s="218"/>
      <c r="J68" s="218"/>
      <c r="K68" s="218"/>
      <c r="L68" s="218"/>
      <c r="M68" s="218"/>
      <c r="N68" s="218"/>
      <c r="O68" s="218"/>
      <c r="P68" s="219"/>
    </row>
    <row r="69" spans="1:26" s="65" customFormat="1" ht="14.1" customHeight="1" thickBot="1" x14ac:dyDescent="0.25">
      <c r="B69" s="213"/>
      <c r="C69" s="220"/>
      <c r="D69" s="221"/>
      <c r="E69" s="221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2"/>
    </row>
    <row r="70" spans="1:26" s="65" customFormat="1" ht="28.5" customHeight="1" thickBot="1" x14ac:dyDescent="0.25">
      <c r="A70" s="67"/>
      <c r="B70" s="84" t="s">
        <v>50</v>
      </c>
      <c r="C70" s="190" t="s">
        <v>51</v>
      </c>
      <c r="D70" s="190"/>
      <c r="E70" s="190"/>
      <c r="F70" s="190"/>
      <c r="G70" s="190"/>
      <c r="H70" s="191"/>
      <c r="I70" s="192"/>
      <c r="J70" s="84" t="s">
        <v>52</v>
      </c>
      <c r="K70" s="190" t="s">
        <v>53</v>
      </c>
      <c r="L70" s="190"/>
      <c r="M70" s="190"/>
      <c r="N70" s="190"/>
      <c r="O70" s="190"/>
      <c r="P70" s="191"/>
    </row>
    <row r="71" spans="1:26" s="65" customFormat="1" ht="28.5" customHeight="1" thickBot="1" x14ac:dyDescent="0.25">
      <c r="B71" s="85" t="s">
        <v>54</v>
      </c>
      <c r="C71" s="194" t="s">
        <v>55</v>
      </c>
      <c r="D71" s="194"/>
      <c r="E71" s="194"/>
      <c r="F71" s="194"/>
      <c r="G71" s="194"/>
      <c r="H71" s="195"/>
      <c r="I71" s="193"/>
      <c r="J71" s="85" t="s">
        <v>56</v>
      </c>
      <c r="K71" s="194" t="s">
        <v>57</v>
      </c>
      <c r="L71" s="194"/>
      <c r="M71" s="194"/>
      <c r="N71" s="194"/>
      <c r="O71" s="194"/>
      <c r="P71" s="195"/>
    </row>
    <row r="72" spans="1:26" s="5" customFormat="1" ht="13.5" customHeight="1" x14ac:dyDescent="0.25">
      <c r="A72" s="68"/>
      <c r="B72" s="196">
        <f>B34</f>
        <v>4</v>
      </c>
      <c r="C72" s="199">
        <f>+C29</f>
        <v>0.89999999999999991</v>
      </c>
      <c r="D72" s="201">
        <f>+D29</f>
        <v>0.222</v>
      </c>
      <c r="E72" s="201">
        <f>E34</f>
        <v>0.223</v>
      </c>
      <c r="F72" s="69" t="s">
        <v>44</v>
      </c>
      <c r="G72" s="69">
        <v>0.01</v>
      </c>
      <c r="H72" s="70"/>
      <c r="I72" s="71"/>
      <c r="J72" s="72">
        <v>0.124</v>
      </c>
      <c r="K72" s="202">
        <f>+AVERAGE(J72:J82)</f>
        <v>0.36045454545454553</v>
      </c>
      <c r="L72" s="182">
        <f>ROUND(+(D72+D77)/2*(C77-C72),3)</f>
        <v>4.3999999999999997E-2</v>
      </c>
      <c r="M72" s="185">
        <f>ROUND(+K72*L72,4)</f>
        <v>1.5900000000000001E-2</v>
      </c>
      <c r="N72" s="182">
        <f>ROUND(+M72/$M$83*100,2)</f>
        <v>20.25</v>
      </c>
      <c r="O72" s="182"/>
      <c r="P72" s="18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spans="1:26" s="5" customFormat="1" ht="13.5" customHeight="1" x14ac:dyDescent="0.25">
      <c r="A73" s="68"/>
      <c r="B73" s="197"/>
      <c r="C73" s="183"/>
      <c r="D73" s="183"/>
      <c r="E73" s="183"/>
      <c r="F73" s="73" t="s">
        <v>58</v>
      </c>
      <c r="G73" s="74">
        <f>+E72*0.1</f>
        <v>2.23E-2</v>
      </c>
      <c r="H73" s="75"/>
      <c r="I73" s="76"/>
      <c r="J73" s="77">
        <v>0.19600000000000001</v>
      </c>
      <c r="K73" s="183"/>
      <c r="L73" s="183"/>
      <c r="M73" s="183"/>
      <c r="N73" s="183"/>
      <c r="O73" s="183"/>
      <c r="P73" s="187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spans="1:26" s="5" customFormat="1" ht="13.5" customHeight="1" x14ac:dyDescent="0.25">
      <c r="A74" s="68"/>
      <c r="B74" s="197"/>
      <c r="C74" s="183"/>
      <c r="D74" s="183"/>
      <c r="E74" s="183"/>
      <c r="F74" s="73" t="s">
        <v>59</v>
      </c>
      <c r="G74" s="74">
        <f>+E72*0.2</f>
        <v>4.4600000000000001E-2</v>
      </c>
      <c r="H74" s="75"/>
      <c r="I74" s="76"/>
      <c r="J74" s="77">
        <v>0.16</v>
      </c>
      <c r="K74" s="183"/>
      <c r="L74" s="183"/>
      <c r="M74" s="183"/>
      <c r="N74" s="183"/>
      <c r="O74" s="183"/>
      <c r="P74" s="187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spans="1:26" s="5" customFormat="1" ht="13.5" customHeight="1" x14ac:dyDescent="0.25">
      <c r="A75" s="68"/>
      <c r="B75" s="197"/>
      <c r="C75" s="183"/>
      <c r="D75" s="183"/>
      <c r="E75" s="183"/>
      <c r="F75" s="73" t="s">
        <v>60</v>
      </c>
      <c r="G75" s="74">
        <f>+E72*0.3</f>
        <v>6.6900000000000001E-2</v>
      </c>
      <c r="H75" s="75"/>
      <c r="I75" s="76"/>
      <c r="J75" s="77">
        <v>0.34</v>
      </c>
      <c r="K75" s="183"/>
      <c r="L75" s="183"/>
      <c r="M75" s="183"/>
      <c r="N75" s="183"/>
      <c r="O75" s="183"/>
      <c r="P75" s="187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spans="1:26" s="5" customFormat="1" ht="13.5" customHeight="1" x14ac:dyDescent="0.25">
      <c r="A76" s="68"/>
      <c r="B76" s="197"/>
      <c r="C76" s="200"/>
      <c r="D76" s="200"/>
      <c r="E76" s="183"/>
      <c r="F76" s="73" t="s">
        <v>61</v>
      </c>
      <c r="G76" s="74">
        <f>+E72*0.4</f>
        <v>8.9200000000000002E-2</v>
      </c>
      <c r="H76" s="75"/>
      <c r="I76" s="76"/>
      <c r="J76" s="77">
        <v>0.33800000000000002</v>
      </c>
      <c r="K76" s="183"/>
      <c r="L76" s="183"/>
      <c r="M76" s="183"/>
      <c r="N76" s="183"/>
      <c r="O76" s="183"/>
      <c r="P76" s="187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spans="1:26" s="5" customFormat="1" ht="13.5" customHeight="1" x14ac:dyDescent="0.25">
      <c r="A77" s="68"/>
      <c r="B77" s="197"/>
      <c r="C77" s="188">
        <f>+C34</f>
        <v>1.0999999999999999</v>
      </c>
      <c r="D77" s="189">
        <f>D34</f>
        <v>0.214</v>
      </c>
      <c r="E77" s="183"/>
      <c r="F77" s="73" t="s">
        <v>62</v>
      </c>
      <c r="G77" s="74">
        <f>+E72*0.5</f>
        <v>0.1115</v>
      </c>
      <c r="H77" s="75"/>
      <c r="I77" s="76"/>
      <c r="J77" s="77">
        <v>0.375</v>
      </c>
      <c r="K77" s="183"/>
      <c r="L77" s="183"/>
      <c r="M77" s="183"/>
      <c r="N77" s="183"/>
      <c r="O77" s="183"/>
      <c r="P77" s="187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spans="1:26" s="5" customFormat="1" ht="13.5" customHeight="1" x14ac:dyDescent="0.25">
      <c r="A78" s="68"/>
      <c r="B78" s="197"/>
      <c r="C78" s="183"/>
      <c r="D78" s="183"/>
      <c r="E78" s="183"/>
      <c r="F78" s="73" t="s">
        <v>63</v>
      </c>
      <c r="G78" s="74">
        <f>+E72*0.6</f>
        <v>0.1338</v>
      </c>
      <c r="H78" s="75"/>
      <c r="I78" s="76"/>
      <c r="J78" s="77">
        <v>0.439</v>
      </c>
      <c r="K78" s="183"/>
      <c r="L78" s="183"/>
      <c r="M78" s="183"/>
      <c r="N78" s="183"/>
      <c r="O78" s="183"/>
      <c r="P78" s="187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spans="1:26" s="5" customFormat="1" ht="13.5" customHeight="1" x14ac:dyDescent="0.25">
      <c r="A79" s="68"/>
      <c r="B79" s="197"/>
      <c r="C79" s="183"/>
      <c r="D79" s="183"/>
      <c r="E79" s="183"/>
      <c r="F79" s="73" t="s">
        <v>64</v>
      </c>
      <c r="G79" s="74">
        <f>+E72*0.7</f>
        <v>0.15609999999999999</v>
      </c>
      <c r="H79" s="75"/>
      <c r="I79" s="76"/>
      <c r="J79" s="77">
        <v>0.505</v>
      </c>
      <c r="K79" s="183"/>
      <c r="L79" s="183"/>
      <c r="M79" s="183"/>
      <c r="N79" s="183"/>
      <c r="O79" s="183"/>
      <c r="P79" s="187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spans="1:26" s="5" customFormat="1" ht="13.5" customHeight="1" x14ac:dyDescent="0.25">
      <c r="A80" s="68"/>
      <c r="B80" s="197"/>
      <c r="C80" s="183"/>
      <c r="D80" s="183"/>
      <c r="E80" s="183"/>
      <c r="F80" s="73" t="s">
        <v>65</v>
      </c>
      <c r="G80" s="74">
        <f>+E72*0.8</f>
        <v>0.1784</v>
      </c>
      <c r="H80" s="75"/>
      <c r="I80" s="76"/>
      <c r="J80" s="77">
        <v>0.47399999999999998</v>
      </c>
      <c r="K80" s="183"/>
      <c r="L80" s="183"/>
      <c r="M80" s="183"/>
      <c r="N80" s="183"/>
      <c r="O80" s="183"/>
      <c r="P80" s="187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spans="1:26" s="5" customFormat="1" ht="13.5" customHeight="1" x14ac:dyDescent="0.25">
      <c r="A81" s="68"/>
      <c r="B81" s="197"/>
      <c r="C81" s="183"/>
      <c r="D81" s="183"/>
      <c r="E81" s="183"/>
      <c r="F81" s="73" t="s">
        <v>66</v>
      </c>
      <c r="G81" s="74">
        <f>+E72*0.9</f>
        <v>0.20070000000000002</v>
      </c>
      <c r="H81" s="75"/>
      <c r="I81" s="76"/>
      <c r="J81" s="77">
        <v>0.50700000000000001</v>
      </c>
      <c r="K81" s="183"/>
      <c r="L81" s="183"/>
      <c r="M81" s="183"/>
      <c r="N81" s="183"/>
      <c r="O81" s="183"/>
      <c r="P81" s="187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spans="1:26" s="5" customFormat="1" ht="15.75" thickBot="1" x14ac:dyDescent="0.3">
      <c r="A82" s="68"/>
      <c r="B82" s="198"/>
      <c r="C82" s="184"/>
      <c r="D82" s="184"/>
      <c r="E82" s="184"/>
      <c r="F82" s="78" t="s">
        <v>67</v>
      </c>
      <c r="G82" s="78">
        <f>+E72</f>
        <v>0.223</v>
      </c>
      <c r="H82" s="79"/>
      <c r="I82" s="80"/>
      <c r="J82" s="81">
        <v>0.50700000000000001</v>
      </c>
      <c r="K82" s="184"/>
      <c r="L82" s="184"/>
      <c r="M82" s="184"/>
      <c r="N82" s="184"/>
      <c r="O82" s="183"/>
      <c r="P82" s="187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spans="1:26" s="5" customFormat="1" ht="15" customHeight="1" x14ac:dyDescent="0.25">
      <c r="A83" s="68"/>
      <c r="B83" s="170" t="s">
        <v>68</v>
      </c>
      <c r="C83" s="170"/>
      <c r="D83" s="170"/>
      <c r="E83" s="170"/>
      <c r="F83" s="170"/>
      <c r="G83" s="170"/>
      <c r="H83" s="170"/>
      <c r="I83" s="170"/>
      <c r="J83" s="170"/>
      <c r="K83" s="93">
        <f>ROUND(+M83/L83,3)</f>
        <v>0.30299999999999999</v>
      </c>
      <c r="L83" s="94">
        <f>SUM(L19:L82)</f>
        <v>0.25900000000000001</v>
      </c>
      <c r="M83" s="94">
        <f>SUM(M19:M82)</f>
        <v>7.8499999999999986E-2</v>
      </c>
      <c r="N83" s="95">
        <f>ROUND(SUM(N19:N82),0)</f>
        <v>100</v>
      </c>
      <c r="O83" s="172" t="s">
        <v>69</v>
      </c>
      <c r="P83" s="174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spans="1:26" s="5" customFormat="1" ht="15.75" thickBot="1" x14ac:dyDescent="0.3">
      <c r="A84" s="82"/>
      <c r="B84" s="171"/>
      <c r="C84" s="171"/>
      <c r="D84" s="171"/>
      <c r="E84" s="171"/>
      <c r="F84" s="171"/>
      <c r="G84" s="171"/>
      <c r="H84" s="171"/>
      <c r="I84" s="171"/>
      <c r="J84" s="171"/>
      <c r="K84" s="96" t="s">
        <v>70</v>
      </c>
      <c r="L84" s="97" t="s">
        <v>102</v>
      </c>
      <c r="M84" s="97" t="s">
        <v>103</v>
      </c>
      <c r="N84" s="98" t="s">
        <v>71</v>
      </c>
      <c r="O84" s="173"/>
      <c r="P84" s="175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spans="1:26" ht="15" customHeight="1" thickBot="1" x14ac:dyDescent="0.3">
      <c r="A85" s="86"/>
      <c r="B85" s="176" t="s">
        <v>72</v>
      </c>
      <c r="C85" s="177"/>
      <c r="D85" s="177"/>
      <c r="E85" s="177"/>
      <c r="F85" s="178"/>
      <c r="G85" s="176" t="s">
        <v>73</v>
      </c>
      <c r="H85" s="177"/>
      <c r="I85" s="177"/>
      <c r="J85" s="177"/>
      <c r="K85" s="178"/>
      <c r="L85" s="179" t="s">
        <v>105</v>
      </c>
      <c r="M85" s="180"/>
      <c r="N85" s="180"/>
      <c r="O85" s="180"/>
      <c r="P85" s="181"/>
    </row>
    <row r="86" spans="1:26" ht="15" customHeight="1" x14ac:dyDescent="0.25">
      <c r="A86" s="86"/>
      <c r="B86" s="136"/>
      <c r="C86" s="137"/>
      <c r="D86" s="137"/>
      <c r="E86" s="137"/>
      <c r="F86" s="138"/>
      <c r="G86" s="136"/>
      <c r="H86" s="137"/>
      <c r="I86" s="137"/>
      <c r="J86" s="137"/>
      <c r="K86" s="138"/>
      <c r="L86" s="145" t="s">
        <v>74</v>
      </c>
      <c r="M86" s="146"/>
      <c r="N86" s="147"/>
      <c r="O86" s="148">
        <f>+AVERAGE(E18:E63)</f>
        <v>0.14266666666666666</v>
      </c>
      <c r="P86" s="149"/>
    </row>
    <row r="87" spans="1:26" ht="15" customHeight="1" thickBot="1" x14ac:dyDescent="0.3">
      <c r="A87" s="86"/>
      <c r="B87" s="139"/>
      <c r="C87" s="140"/>
      <c r="D87" s="140"/>
      <c r="E87" s="140"/>
      <c r="F87" s="141"/>
      <c r="G87" s="139"/>
      <c r="H87" s="140"/>
      <c r="I87" s="140"/>
      <c r="J87" s="140"/>
      <c r="K87" s="141"/>
      <c r="L87" s="150" t="s">
        <v>75</v>
      </c>
      <c r="M87" s="151"/>
      <c r="N87" s="152"/>
      <c r="O87" s="153">
        <f>+MAX(E18:E63)</f>
        <v>0.223</v>
      </c>
      <c r="P87" s="154"/>
    </row>
    <row r="88" spans="1:26" ht="18.600000000000001" customHeight="1" x14ac:dyDescent="0.25">
      <c r="A88" s="87"/>
      <c r="B88" s="139"/>
      <c r="C88" s="140"/>
      <c r="D88" s="140"/>
      <c r="E88" s="140"/>
      <c r="F88" s="141"/>
      <c r="G88" s="139"/>
      <c r="H88" s="140"/>
      <c r="I88" s="140"/>
      <c r="J88" s="140"/>
      <c r="K88" s="141"/>
      <c r="L88" s="155" t="s">
        <v>111</v>
      </c>
      <c r="M88" s="156"/>
      <c r="N88" s="156"/>
      <c r="O88" s="156"/>
      <c r="P88" s="157"/>
    </row>
    <row r="89" spans="1:26" ht="75" customHeight="1" x14ac:dyDescent="0.25">
      <c r="A89" s="92"/>
      <c r="B89" s="139"/>
      <c r="C89" s="140"/>
      <c r="D89" s="140"/>
      <c r="E89" s="140"/>
      <c r="F89" s="141"/>
      <c r="G89" s="139"/>
      <c r="H89" s="140"/>
      <c r="I89" s="140"/>
      <c r="J89" s="140"/>
      <c r="K89" s="141"/>
      <c r="L89" s="158"/>
      <c r="M89" s="159"/>
      <c r="N89" s="159"/>
      <c r="O89" s="159"/>
      <c r="P89" s="160"/>
    </row>
    <row r="90" spans="1:26" ht="15" customHeight="1" thickBot="1" x14ac:dyDescent="0.3">
      <c r="A90" s="86"/>
      <c r="B90" s="139"/>
      <c r="C90" s="140"/>
      <c r="D90" s="140"/>
      <c r="E90" s="140"/>
      <c r="F90" s="141"/>
      <c r="G90" s="139"/>
      <c r="H90" s="140"/>
      <c r="I90" s="140"/>
      <c r="J90" s="140"/>
      <c r="K90" s="141"/>
      <c r="L90" s="161"/>
      <c r="M90" s="162"/>
      <c r="N90" s="162"/>
      <c r="O90" s="162"/>
      <c r="P90" s="163"/>
    </row>
    <row r="91" spans="1:26" ht="15.75" customHeight="1" thickBot="1" x14ac:dyDescent="0.3">
      <c r="A91" s="86"/>
      <c r="B91" s="139"/>
      <c r="C91" s="140"/>
      <c r="D91" s="140"/>
      <c r="E91" s="140"/>
      <c r="F91" s="141"/>
      <c r="G91" s="139"/>
      <c r="H91" s="140"/>
      <c r="I91" s="140"/>
      <c r="J91" s="140"/>
      <c r="K91" s="141"/>
      <c r="L91" s="164" t="s">
        <v>76</v>
      </c>
      <c r="M91" s="165"/>
      <c r="N91" s="165"/>
      <c r="O91" s="166"/>
      <c r="P91" s="88">
        <v>13.7</v>
      </c>
    </row>
    <row r="92" spans="1:26" ht="14.45" customHeight="1" thickBot="1" x14ac:dyDescent="0.3">
      <c r="A92" s="86"/>
      <c r="B92" s="142"/>
      <c r="C92" s="143"/>
      <c r="D92" s="143"/>
      <c r="E92" s="143"/>
      <c r="F92" s="144"/>
      <c r="G92" s="142"/>
      <c r="H92" s="143"/>
      <c r="I92" s="143"/>
      <c r="J92" s="143"/>
      <c r="K92" s="144"/>
      <c r="L92" s="167" t="s">
        <v>104</v>
      </c>
      <c r="M92" s="168"/>
      <c r="N92" s="168"/>
      <c r="O92" s="169"/>
      <c r="P92" s="88">
        <v>1.22</v>
      </c>
    </row>
    <row r="93" spans="1:26" ht="23.45" customHeight="1" thickBot="1" x14ac:dyDescent="0.3">
      <c r="A93" s="89"/>
      <c r="B93" s="124"/>
      <c r="C93" s="124"/>
      <c r="D93" s="124"/>
      <c r="E93" s="124"/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</row>
    <row r="94" spans="1:26" ht="15.75" thickBot="1" x14ac:dyDescent="0.3">
      <c r="A94" s="125" t="s">
        <v>77</v>
      </c>
      <c r="B94" s="126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7"/>
    </row>
    <row r="95" spans="1:26" ht="159" customHeight="1" thickBot="1" x14ac:dyDescent="0.3">
      <c r="A95" s="83"/>
      <c r="B95" s="128"/>
      <c r="C95" s="129"/>
      <c r="D95" s="129"/>
      <c r="E95" s="129"/>
      <c r="F95" s="130"/>
      <c r="G95" s="128"/>
      <c r="H95" s="129"/>
      <c r="I95" s="129"/>
      <c r="J95" s="129"/>
      <c r="K95" s="130"/>
      <c r="L95" s="128"/>
      <c r="M95" s="129"/>
      <c r="N95" s="129"/>
      <c r="O95" s="129"/>
      <c r="P95" s="131"/>
    </row>
    <row r="96" spans="1:26" s="91" customFormat="1" ht="21.75" customHeight="1" thickBot="1" x14ac:dyDescent="0.3">
      <c r="A96" s="99"/>
      <c r="B96" s="132" t="s">
        <v>112</v>
      </c>
      <c r="C96" s="133"/>
      <c r="D96" s="133"/>
      <c r="E96" s="133"/>
      <c r="F96" s="134"/>
      <c r="G96" s="132" t="s">
        <v>113</v>
      </c>
      <c r="H96" s="133"/>
      <c r="I96" s="133"/>
      <c r="J96" s="133"/>
      <c r="K96" s="134"/>
      <c r="L96" s="132" t="s">
        <v>106</v>
      </c>
      <c r="M96" s="133"/>
      <c r="N96" s="133"/>
      <c r="O96" s="133"/>
      <c r="P96" s="135"/>
    </row>
    <row r="97" spans="1:16" s="91" customFormat="1" ht="16.899999999999999" customHeight="1" thickBot="1" x14ac:dyDescent="0.3">
      <c r="A97" s="90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20"/>
    </row>
    <row r="98" spans="1:16" s="65" customFormat="1" ht="15.75" customHeight="1" thickBot="1" x14ac:dyDescent="0.25">
      <c r="A98" s="121" t="s">
        <v>78</v>
      </c>
      <c r="B98" s="122"/>
      <c r="C98" s="122"/>
      <c r="D98" s="122"/>
      <c r="E98" s="122"/>
      <c r="F98" s="122"/>
      <c r="G98" s="122"/>
      <c r="H98" s="122"/>
      <c r="I98" s="122"/>
      <c r="J98" s="122" t="s">
        <v>79</v>
      </c>
      <c r="K98" s="122"/>
      <c r="L98" s="122"/>
      <c r="M98" s="122"/>
      <c r="N98" s="122"/>
      <c r="O98" s="122"/>
      <c r="P98" s="123"/>
    </row>
  </sheetData>
  <mergeCells count="195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9:M63"/>
    <mergeCell ref="N59:N63"/>
    <mergeCell ref="O59:O63"/>
    <mergeCell ref="P59:P63"/>
    <mergeCell ref="B64:B69"/>
    <mergeCell ref="C64:P69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C70:H70"/>
    <mergeCell ref="I70:I71"/>
    <mergeCell ref="K70:P70"/>
    <mergeCell ref="C71:H71"/>
    <mergeCell ref="K71:P71"/>
    <mergeCell ref="B72:B82"/>
    <mergeCell ref="C72:C76"/>
    <mergeCell ref="D72:D76"/>
    <mergeCell ref="E72:E82"/>
    <mergeCell ref="K72:K82"/>
    <mergeCell ref="B83:J84"/>
    <mergeCell ref="O83:O84"/>
    <mergeCell ref="P83:P84"/>
    <mergeCell ref="B85:F85"/>
    <mergeCell ref="G85:K85"/>
    <mergeCell ref="L85:P85"/>
    <mergeCell ref="L72:L82"/>
    <mergeCell ref="M72:M82"/>
    <mergeCell ref="N72:N82"/>
    <mergeCell ref="O72:O82"/>
    <mergeCell ref="P72:P82"/>
    <mergeCell ref="C77:C82"/>
    <mergeCell ref="D77:D82"/>
    <mergeCell ref="B86:F92"/>
    <mergeCell ref="G86:K92"/>
    <mergeCell ref="L86:N86"/>
    <mergeCell ref="O86:P86"/>
    <mergeCell ref="L87:N87"/>
    <mergeCell ref="O87:P87"/>
    <mergeCell ref="L88:P90"/>
    <mergeCell ref="L91:O91"/>
    <mergeCell ref="L92:O92"/>
    <mergeCell ref="B97:P97"/>
    <mergeCell ref="A98:C98"/>
    <mergeCell ref="D98:I98"/>
    <mergeCell ref="J98:K98"/>
    <mergeCell ref="L98:P98"/>
    <mergeCell ref="B93:P93"/>
    <mergeCell ref="A94:P94"/>
    <mergeCell ref="B95:F95"/>
    <mergeCell ref="G95:K95"/>
    <mergeCell ref="L95:P95"/>
    <mergeCell ref="B96:F96"/>
    <mergeCell ref="G96:K96"/>
    <mergeCell ref="L96:P96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Z103"/>
  <sheetViews>
    <sheetView view="pageBreakPreview" topLeftCell="A2" zoomScaleSheetLayoutView="10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"/>
    </row>
    <row r="2" spans="1:26" s="4" customFormat="1" ht="30" customHeight="1" x14ac:dyDescent="0.25">
      <c r="A2" s="100"/>
      <c r="B2" s="354"/>
      <c r="C2" s="355"/>
      <c r="D2" s="356"/>
      <c r="E2" s="337" t="s">
        <v>120</v>
      </c>
      <c r="F2" s="338"/>
      <c r="G2" s="338"/>
      <c r="H2" s="338"/>
      <c r="I2" s="338"/>
      <c r="J2" s="338"/>
      <c r="K2" s="338"/>
      <c r="L2" s="338"/>
      <c r="M2" s="338"/>
      <c r="N2" s="338"/>
      <c r="O2" s="357"/>
      <c r="P2" s="341"/>
    </row>
    <row r="3" spans="1:26" s="4" customFormat="1" ht="20.45" customHeight="1" thickBot="1" x14ac:dyDescent="0.3">
      <c r="A3" s="100"/>
      <c r="B3" s="358"/>
      <c r="C3" s="359"/>
      <c r="D3" s="360"/>
      <c r="E3" s="339"/>
      <c r="F3" s="340"/>
      <c r="G3" s="340"/>
      <c r="H3" s="340"/>
      <c r="I3" s="340"/>
      <c r="J3" s="340"/>
      <c r="K3" s="340"/>
      <c r="L3" s="340"/>
      <c r="M3" s="340"/>
      <c r="N3" s="340"/>
      <c r="O3" s="361"/>
      <c r="P3" s="342"/>
    </row>
    <row r="4" spans="1:26" s="4" customFormat="1" ht="4.9000000000000004" customHeight="1" thickBot="1" x14ac:dyDescent="0.3">
      <c r="A4" s="100"/>
      <c r="B4" s="343"/>
      <c r="C4" s="343"/>
      <c r="D4" s="343"/>
      <c r="E4" s="343"/>
      <c r="F4" s="343"/>
      <c r="G4" s="343"/>
      <c r="H4" s="343"/>
      <c r="I4" s="343"/>
      <c r="J4" s="343"/>
      <c r="K4" s="343"/>
      <c r="L4" s="343"/>
      <c r="M4" s="343"/>
      <c r="N4" s="343"/>
      <c r="O4" s="343"/>
      <c r="P4" s="343"/>
    </row>
    <row r="5" spans="1:26" s="12" customFormat="1" ht="28.5" customHeight="1" thickBot="1" x14ac:dyDescent="0.3">
      <c r="A5" s="6"/>
      <c r="B5" s="7" t="s">
        <v>0</v>
      </c>
      <c r="C5" s="310">
        <v>43084</v>
      </c>
      <c r="D5" s="311"/>
      <c r="E5" s="8" t="s">
        <v>1</v>
      </c>
      <c r="F5" s="9">
        <v>2</v>
      </c>
      <c r="G5" s="10" t="s">
        <v>2</v>
      </c>
      <c r="H5" s="312" t="s">
        <v>122</v>
      </c>
      <c r="I5" s="313"/>
      <c r="J5" s="313"/>
      <c r="K5" s="313"/>
      <c r="L5" s="313"/>
      <c r="M5" s="313"/>
      <c r="N5" s="313"/>
      <c r="O5" s="313"/>
      <c r="P5" s="314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s="17" customFormat="1" ht="23.25" customHeight="1" thickBot="1" x14ac:dyDescent="0.3">
      <c r="A6" s="13"/>
      <c r="B6" s="293" t="s">
        <v>3</v>
      </c>
      <c r="C6" s="294"/>
      <c r="D6" s="295" t="s">
        <v>107</v>
      </c>
      <c r="E6" s="296"/>
      <c r="F6" s="296"/>
      <c r="G6" s="296"/>
      <c r="H6" s="296"/>
      <c r="I6" s="297"/>
      <c r="J6" s="14" t="s">
        <v>4</v>
      </c>
      <c r="K6" s="298" t="s">
        <v>109</v>
      </c>
      <c r="L6" s="297"/>
      <c r="M6" s="298" t="s">
        <v>108</v>
      </c>
      <c r="N6" s="299"/>
      <c r="O6" s="15" t="s">
        <v>5</v>
      </c>
      <c r="P6" s="16">
        <v>1832</v>
      </c>
    </row>
    <row r="7" spans="1:26" s="12" customFormat="1" ht="30.75" customHeight="1" x14ac:dyDescent="0.25">
      <c r="B7" s="300" t="s">
        <v>6</v>
      </c>
      <c r="C7" s="301" t="s">
        <v>7</v>
      </c>
      <c r="D7" s="271"/>
      <c r="E7" s="18"/>
      <c r="F7" s="302" t="s">
        <v>8</v>
      </c>
      <c r="G7" s="303"/>
      <c r="H7" s="303"/>
      <c r="I7" s="303"/>
      <c r="J7" s="304" t="s">
        <v>9</v>
      </c>
      <c r="K7" s="305"/>
      <c r="L7" s="305"/>
      <c r="M7" s="306"/>
      <c r="N7" s="307" t="s">
        <v>82</v>
      </c>
      <c r="O7" s="308"/>
      <c r="P7" s="19" t="s">
        <v>10</v>
      </c>
    </row>
    <row r="8" spans="1:26" s="12" customFormat="1" ht="16.5" thickBot="1" x14ac:dyDescent="0.3">
      <c r="B8" s="245"/>
      <c r="C8" s="262" t="s">
        <v>11</v>
      </c>
      <c r="D8" s="261"/>
      <c r="E8" s="20" t="s">
        <v>12</v>
      </c>
      <c r="F8" s="272" t="s">
        <v>13</v>
      </c>
      <c r="G8" s="273"/>
      <c r="H8" s="273"/>
      <c r="I8" s="273"/>
      <c r="J8" s="274"/>
      <c r="K8" s="275"/>
      <c r="L8" s="275"/>
      <c r="M8" s="276"/>
      <c r="N8" s="277"/>
      <c r="O8" s="278"/>
      <c r="P8" s="21"/>
    </row>
    <row r="9" spans="1:26" s="12" customFormat="1" ht="14.25" customHeight="1" x14ac:dyDescent="0.25">
      <c r="B9" s="279" t="s">
        <v>14</v>
      </c>
      <c r="C9" s="282" t="s">
        <v>15</v>
      </c>
      <c r="D9" s="283" t="s">
        <v>16</v>
      </c>
      <c r="E9" s="268"/>
      <c r="F9" s="22"/>
      <c r="G9" s="284" t="s">
        <v>17</v>
      </c>
      <c r="H9" s="285" t="s">
        <v>18</v>
      </c>
      <c r="I9" s="271"/>
      <c r="J9" s="23"/>
      <c r="K9" s="282" t="s">
        <v>19</v>
      </c>
      <c r="L9" s="286" t="s">
        <v>83</v>
      </c>
      <c r="M9" s="287"/>
      <c r="N9" s="288"/>
      <c r="O9" s="288"/>
      <c r="P9" s="289"/>
    </row>
    <row r="10" spans="1:26" s="12" customFormat="1" ht="16.5" thickBot="1" x14ac:dyDescent="0.3">
      <c r="B10" s="280"/>
      <c r="C10" s="225"/>
      <c r="D10" s="266" t="s">
        <v>21</v>
      </c>
      <c r="E10" s="261"/>
      <c r="F10" s="24" t="s">
        <v>12</v>
      </c>
      <c r="G10" s="225"/>
      <c r="H10" s="266" t="s">
        <v>22</v>
      </c>
      <c r="I10" s="261"/>
      <c r="J10" s="25" t="s">
        <v>12</v>
      </c>
      <c r="K10" s="225"/>
      <c r="L10" s="290"/>
      <c r="M10" s="291"/>
      <c r="N10" s="291"/>
      <c r="O10" s="291"/>
      <c r="P10" s="292"/>
    </row>
    <row r="11" spans="1:26" s="12" customFormat="1" ht="18.75" customHeight="1" x14ac:dyDescent="0.25">
      <c r="A11" s="6"/>
      <c r="B11" s="280"/>
      <c r="C11" s="267" t="s">
        <v>23</v>
      </c>
      <c r="D11" s="268"/>
      <c r="E11" s="26">
        <v>0.5395833333333333</v>
      </c>
      <c r="F11" s="269" t="s">
        <v>24</v>
      </c>
      <c r="G11" s="268"/>
      <c r="H11" s="27">
        <v>1.23</v>
      </c>
      <c r="I11" s="270" t="s">
        <v>25</v>
      </c>
      <c r="J11" s="271"/>
      <c r="K11" s="27">
        <v>17</v>
      </c>
      <c r="L11" s="267" t="s">
        <v>26</v>
      </c>
      <c r="M11" s="268"/>
      <c r="N11" s="28">
        <v>1.95</v>
      </c>
      <c r="O11" s="258" t="s">
        <v>84</v>
      </c>
      <c r="P11" s="259"/>
    </row>
    <row r="12" spans="1:26" s="12" customFormat="1" ht="18.75" customHeight="1" thickBot="1" x14ac:dyDescent="0.3">
      <c r="A12" s="6"/>
      <c r="B12" s="281"/>
      <c r="C12" s="260" t="s">
        <v>27</v>
      </c>
      <c r="D12" s="261"/>
      <c r="E12" s="26">
        <v>0.57500000000000007</v>
      </c>
      <c r="F12" s="262" t="s">
        <v>28</v>
      </c>
      <c r="G12" s="261"/>
      <c r="H12" s="27">
        <v>1.23</v>
      </c>
      <c r="I12" s="263" t="s">
        <v>29</v>
      </c>
      <c r="J12" s="261"/>
      <c r="K12" s="26">
        <v>0.52986111111111112</v>
      </c>
      <c r="L12" s="260" t="s">
        <v>30</v>
      </c>
      <c r="M12" s="261"/>
      <c r="N12" s="29">
        <v>0.2</v>
      </c>
      <c r="O12" s="264">
        <v>0.25</v>
      </c>
      <c r="P12" s="265"/>
    </row>
    <row r="13" spans="1:26" s="12" customFormat="1" ht="21" customHeight="1" x14ac:dyDescent="0.25">
      <c r="A13" s="6"/>
      <c r="B13" s="243" t="s">
        <v>31</v>
      </c>
      <c r="C13" s="246" t="s">
        <v>85</v>
      </c>
      <c r="D13" s="247"/>
      <c r="E13" s="247"/>
      <c r="F13" s="248" t="s">
        <v>86</v>
      </c>
      <c r="G13" s="247"/>
      <c r="H13" s="247"/>
      <c r="I13" s="247"/>
      <c r="J13" s="248" t="s">
        <v>87</v>
      </c>
      <c r="K13" s="247"/>
      <c r="L13" s="247"/>
      <c r="M13" s="247"/>
      <c r="N13" s="249" t="s">
        <v>88</v>
      </c>
      <c r="O13" s="247"/>
      <c r="P13" s="250"/>
      <c r="Q13" s="30"/>
      <c r="R13" s="11"/>
      <c r="S13" s="11"/>
      <c r="T13" s="11"/>
      <c r="U13" s="11"/>
      <c r="V13" s="11"/>
      <c r="W13" s="11"/>
      <c r="X13" s="11"/>
      <c r="Y13" s="11"/>
      <c r="Z13" s="11"/>
    </row>
    <row r="14" spans="1:26" s="12" customFormat="1" ht="21" customHeight="1" x14ac:dyDescent="0.25">
      <c r="A14" s="6"/>
      <c r="B14" s="244"/>
      <c r="C14" s="251" t="s">
        <v>89</v>
      </c>
      <c r="D14" s="252"/>
      <c r="E14" s="252"/>
      <c r="F14" s="253" t="s">
        <v>90</v>
      </c>
      <c r="G14" s="252"/>
      <c r="H14" s="252"/>
      <c r="I14" s="252"/>
      <c r="J14" s="254" t="s">
        <v>91</v>
      </c>
      <c r="K14" s="252"/>
      <c r="L14" s="252"/>
      <c r="M14" s="252"/>
      <c r="N14" s="255"/>
      <c r="O14" s="240"/>
      <c r="P14" s="256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s="12" customFormat="1" ht="21" customHeight="1" thickBot="1" x14ac:dyDescent="0.3">
      <c r="A15" s="6"/>
      <c r="B15" s="245"/>
      <c r="C15" s="257" t="s">
        <v>92</v>
      </c>
      <c r="D15" s="227"/>
      <c r="E15" s="227"/>
      <c r="F15" s="227" t="s">
        <v>93</v>
      </c>
      <c r="G15" s="228"/>
      <c r="H15" s="228"/>
      <c r="I15" s="228"/>
      <c r="J15" s="227" t="s">
        <v>32</v>
      </c>
      <c r="K15" s="228"/>
      <c r="L15" s="228"/>
      <c r="M15" s="228"/>
      <c r="N15" s="229"/>
      <c r="O15" s="230"/>
      <c r="P15" s="23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s="12" customFormat="1" ht="16.5" customHeight="1" x14ac:dyDescent="0.25">
      <c r="A16" s="6"/>
      <c r="B16" s="232" t="s">
        <v>33</v>
      </c>
      <c r="C16" s="234" t="s">
        <v>34</v>
      </c>
      <c r="D16" s="234" t="s">
        <v>94</v>
      </c>
      <c r="E16" s="236" t="s">
        <v>35</v>
      </c>
      <c r="F16" s="237" t="s">
        <v>95</v>
      </c>
      <c r="G16" s="238"/>
      <c r="H16" s="234" t="s">
        <v>36</v>
      </c>
      <c r="I16" s="241" t="s">
        <v>37</v>
      </c>
      <c r="J16" s="31" t="s">
        <v>96</v>
      </c>
      <c r="K16" s="32"/>
      <c r="L16" s="33" t="s">
        <v>97</v>
      </c>
      <c r="M16" s="33" t="s">
        <v>98</v>
      </c>
      <c r="N16" s="33" t="s">
        <v>98</v>
      </c>
      <c r="O16" s="33" t="s">
        <v>99</v>
      </c>
      <c r="P16" s="34" t="s">
        <v>38</v>
      </c>
    </row>
    <row r="17" spans="1:26" s="12" customFormat="1" ht="13.5" customHeight="1" thickBot="1" x14ac:dyDescent="0.3">
      <c r="A17" s="35"/>
      <c r="B17" s="233"/>
      <c r="C17" s="235"/>
      <c r="D17" s="235"/>
      <c r="E17" s="235"/>
      <c r="F17" s="239"/>
      <c r="G17" s="240"/>
      <c r="H17" s="235"/>
      <c r="I17" s="242"/>
      <c r="J17" s="36" t="s">
        <v>39</v>
      </c>
      <c r="K17" s="37" t="s">
        <v>40</v>
      </c>
      <c r="L17" s="37" t="s">
        <v>100</v>
      </c>
      <c r="M17" s="37" t="s">
        <v>101</v>
      </c>
      <c r="N17" s="37" t="s">
        <v>41</v>
      </c>
      <c r="O17" s="37" t="s">
        <v>42</v>
      </c>
      <c r="P17" s="38" t="s">
        <v>43</v>
      </c>
    </row>
    <row r="18" spans="1:26" s="47" customFormat="1" ht="13.5" customHeight="1" thickBot="1" x14ac:dyDescent="0.3">
      <c r="A18" s="39"/>
      <c r="B18" s="40"/>
      <c r="C18" s="41">
        <f>+O12</f>
        <v>0.25</v>
      </c>
      <c r="D18" s="41">
        <v>0.26600000000000001</v>
      </c>
      <c r="E18" s="42"/>
      <c r="F18" s="43"/>
      <c r="G18" s="48"/>
      <c r="H18" s="44"/>
      <c r="I18" s="45"/>
      <c r="J18" s="49"/>
      <c r="K18" s="42"/>
      <c r="L18" s="42"/>
      <c r="M18" s="42"/>
      <c r="N18" s="42"/>
      <c r="O18" s="42"/>
      <c r="P18" s="46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s="47" customFormat="1" ht="13.5" customHeight="1" x14ac:dyDescent="0.25">
      <c r="A19" s="39"/>
      <c r="B19" s="223">
        <v>1</v>
      </c>
      <c r="C19" s="226">
        <f>+C18+$N$12</f>
        <v>0.45</v>
      </c>
      <c r="D19" s="203">
        <v>0.29499999999999998</v>
      </c>
      <c r="E19" s="203">
        <v>0.28199999999999997</v>
      </c>
      <c r="F19" s="50" t="s">
        <v>44</v>
      </c>
      <c r="G19" s="51">
        <v>0</v>
      </c>
      <c r="H19" s="52"/>
      <c r="I19" s="53"/>
      <c r="J19" s="54">
        <v>0.188</v>
      </c>
      <c r="K19" s="203">
        <f>+IF(E19&lt;=0.12,(J21),(IF(E19&lt;0.16,((J20+2*J21+J22)/4),IF(E19&gt;=0.16,((J19+3*J20+2*J21+3*J22+J23)/10)))))</f>
        <v>0.37859999999999999</v>
      </c>
      <c r="L19" s="203">
        <f>ROUND(+(D18+D19)/2*(C19-C18),3)</f>
        <v>5.6000000000000001E-2</v>
      </c>
      <c r="M19" s="203">
        <f>ROUND(+K19*L19,4)</f>
        <v>2.12E-2</v>
      </c>
      <c r="N19" s="206">
        <f>ROUND(+M19/$M$88*100,2)</f>
        <v>18.100000000000001</v>
      </c>
      <c r="O19" s="207"/>
      <c r="P19" s="208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s="47" customFormat="1" ht="13.5" customHeight="1" x14ac:dyDescent="0.25">
      <c r="A20" s="39"/>
      <c r="B20" s="224"/>
      <c r="C20" s="204"/>
      <c r="D20" s="204"/>
      <c r="E20" s="204"/>
      <c r="F20" s="55" t="s">
        <v>45</v>
      </c>
      <c r="G20" s="56">
        <f>IF(E19&lt;0.125,"NA",IF(0.125&lt;=E19,(0.2*E19)))</f>
        <v>5.6399999999999999E-2</v>
      </c>
      <c r="H20" s="57"/>
      <c r="I20" s="58"/>
      <c r="J20" s="59">
        <v>0.35499999999999998</v>
      </c>
      <c r="K20" s="204"/>
      <c r="L20" s="204"/>
      <c r="M20" s="204"/>
      <c r="N20" s="204"/>
      <c r="O20" s="204"/>
      <c r="P20" s="20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s="47" customFormat="1" ht="13.5" customHeight="1" x14ac:dyDescent="0.25">
      <c r="A21" s="39"/>
      <c r="B21" s="224"/>
      <c r="C21" s="204"/>
      <c r="D21" s="204"/>
      <c r="E21" s="204"/>
      <c r="F21" s="55" t="s">
        <v>46</v>
      </c>
      <c r="G21" s="56">
        <f>+E19*0.4</f>
        <v>0.1128</v>
      </c>
      <c r="H21" s="57"/>
      <c r="I21" s="58"/>
      <c r="J21" s="59">
        <v>0.39</v>
      </c>
      <c r="K21" s="204"/>
      <c r="L21" s="204"/>
      <c r="M21" s="204"/>
      <c r="N21" s="204"/>
      <c r="O21" s="204"/>
      <c r="P21" s="20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s="47" customFormat="1" ht="13.5" customHeight="1" x14ac:dyDescent="0.25">
      <c r="A22" s="39"/>
      <c r="B22" s="224"/>
      <c r="C22" s="204"/>
      <c r="D22" s="204"/>
      <c r="E22" s="204"/>
      <c r="F22" s="55" t="s">
        <v>47</v>
      </c>
      <c r="G22" s="56">
        <f>IF(E19&lt;0.125,"NA",IF(0.125&lt;=E19,(0.8*E19)))</f>
        <v>0.22559999999999999</v>
      </c>
      <c r="H22" s="57"/>
      <c r="I22" s="58"/>
      <c r="J22" s="59">
        <v>0.42799999999999999</v>
      </c>
      <c r="K22" s="204"/>
      <c r="L22" s="204"/>
      <c r="M22" s="204"/>
      <c r="N22" s="204"/>
      <c r="O22" s="204"/>
      <c r="P22" s="20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s="47" customFormat="1" ht="13.5" customHeight="1" thickBot="1" x14ac:dyDescent="0.3">
      <c r="A23" s="39"/>
      <c r="B23" s="225"/>
      <c r="C23" s="205"/>
      <c r="D23" s="205"/>
      <c r="E23" s="205"/>
      <c r="F23" s="60" t="s">
        <v>48</v>
      </c>
      <c r="G23" s="61">
        <f>+E19</f>
        <v>0.28199999999999997</v>
      </c>
      <c r="H23" s="62"/>
      <c r="I23" s="63"/>
      <c r="J23" s="64">
        <v>0.46899999999999997</v>
      </c>
      <c r="K23" s="205"/>
      <c r="L23" s="205"/>
      <c r="M23" s="205"/>
      <c r="N23" s="205"/>
      <c r="O23" s="205"/>
      <c r="P23" s="210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s="47" customFormat="1" ht="13.5" customHeight="1" x14ac:dyDescent="0.25">
      <c r="A24" s="39"/>
      <c r="B24" s="223">
        <v>2</v>
      </c>
      <c r="C24" s="226">
        <f>+C19+$N$12</f>
        <v>0.65</v>
      </c>
      <c r="D24" s="203">
        <v>0.25600000000000001</v>
      </c>
      <c r="E24" s="203">
        <v>0.28399999999999997</v>
      </c>
      <c r="F24" s="50" t="s">
        <v>44</v>
      </c>
      <c r="G24" s="51">
        <v>0</v>
      </c>
      <c r="H24" s="52"/>
      <c r="I24" s="53"/>
      <c r="J24" s="54">
        <v>0.112</v>
      </c>
      <c r="K24" s="203">
        <f>+IF(E24&lt;=0.12,(J26),(IF(E24&lt;0.16,((J25+2*J26+J27)/4),IF(E24&gt;=0.16,((J24+3*J25+2*J26+3*J27+J28)/10)))))</f>
        <v>0.38740000000000002</v>
      </c>
      <c r="L24" s="203">
        <f>ROUND(+(D19+D24)/2*(C24-C19),3)</f>
        <v>5.5E-2</v>
      </c>
      <c r="M24" s="203">
        <f t="shared" ref="M24" si="0">ROUND(+K24*L24,4)</f>
        <v>2.1299999999999999E-2</v>
      </c>
      <c r="N24" s="206">
        <f t="shared" ref="N24" si="1">ROUND(+M24/$M$88*100,2)</f>
        <v>18.190000000000001</v>
      </c>
      <c r="O24" s="207"/>
      <c r="P24" s="208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s="47" customFormat="1" ht="13.5" customHeight="1" x14ac:dyDescent="0.25">
      <c r="A25" s="39"/>
      <c r="B25" s="224"/>
      <c r="C25" s="204"/>
      <c r="D25" s="204"/>
      <c r="E25" s="204"/>
      <c r="F25" s="55" t="s">
        <v>45</v>
      </c>
      <c r="G25" s="56">
        <f t="shared" ref="G25" si="2">IF(E24&lt;0.125,"NA",IF(0.125&lt;=E24,(0.2*E24)))</f>
        <v>5.6799999999999996E-2</v>
      </c>
      <c r="H25" s="57"/>
      <c r="I25" s="58"/>
      <c r="J25" s="59">
        <v>0.19600000000000001</v>
      </c>
      <c r="K25" s="204"/>
      <c r="L25" s="204"/>
      <c r="M25" s="204"/>
      <c r="N25" s="204"/>
      <c r="O25" s="204"/>
      <c r="P25" s="20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s="47" customFormat="1" ht="13.5" customHeight="1" x14ac:dyDescent="0.25">
      <c r="A26" s="39"/>
      <c r="B26" s="224"/>
      <c r="C26" s="204"/>
      <c r="D26" s="204"/>
      <c r="E26" s="204"/>
      <c r="F26" s="55" t="s">
        <v>46</v>
      </c>
      <c r="G26" s="56">
        <f t="shared" ref="G26" si="3">+E24*0.4</f>
        <v>0.11359999999999999</v>
      </c>
      <c r="H26" s="57"/>
      <c r="I26" s="58"/>
      <c r="J26" s="59">
        <v>0.32300000000000001</v>
      </c>
      <c r="K26" s="204"/>
      <c r="L26" s="204"/>
      <c r="M26" s="204"/>
      <c r="N26" s="204"/>
      <c r="O26" s="204"/>
      <c r="P26" s="20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s="47" customFormat="1" ht="13.5" customHeight="1" x14ac:dyDescent="0.25">
      <c r="A27" s="39"/>
      <c r="B27" s="224"/>
      <c r="C27" s="204"/>
      <c r="D27" s="204"/>
      <c r="E27" s="204"/>
      <c r="F27" s="55" t="s">
        <v>47</v>
      </c>
      <c r="G27" s="56">
        <f t="shared" ref="G27" si="4">IF(E24&lt;0.125,"NA",IF(0.125&lt;=E24,(0.8*E24)))</f>
        <v>0.22719999999999999</v>
      </c>
      <c r="H27" s="57"/>
      <c r="I27" s="58"/>
      <c r="J27" s="59">
        <v>0.63700000000000001</v>
      </c>
      <c r="K27" s="204"/>
      <c r="L27" s="204"/>
      <c r="M27" s="204"/>
      <c r="N27" s="204"/>
      <c r="O27" s="204"/>
      <c r="P27" s="20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s="47" customFormat="1" ht="13.5" customHeight="1" thickBot="1" x14ac:dyDescent="0.3">
      <c r="A28" s="39"/>
      <c r="B28" s="225"/>
      <c r="C28" s="205"/>
      <c r="D28" s="205"/>
      <c r="E28" s="205"/>
      <c r="F28" s="60" t="s">
        <v>48</v>
      </c>
      <c r="G28" s="61">
        <f t="shared" ref="G28" si="5">+E24</f>
        <v>0.28399999999999997</v>
      </c>
      <c r="H28" s="62"/>
      <c r="I28" s="63"/>
      <c r="J28" s="64">
        <v>0.61699999999999999</v>
      </c>
      <c r="K28" s="205"/>
      <c r="L28" s="205"/>
      <c r="M28" s="205"/>
      <c r="N28" s="205"/>
      <c r="O28" s="205"/>
      <c r="P28" s="210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s="47" customFormat="1" ht="13.5" customHeight="1" x14ac:dyDescent="0.25">
      <c r="A29" s="39"/>
      <c r="B29" s="223">
        <v>3</v>
      </c>
      <c r="C29" s="226">
        <f>+C24+$N$12</f>
        <v>0.85000000000000009</v>
      </c>
      <c r="D29" s="203">
        <v>0.26500000000000001</v>
      </c>
      <c r="E29" s="203">
        <v>0.23799999999999999</v>
      </c>
      <c r="F29" s="50" t="s">
        <v>44</v>
      </c>
      <c r="G29" s="51">
        <v>0</v>
      </c>
      <c r="H29" s="52"/>
      <c r="I29" s="53"/>
      <c r="J29" s="54">
        <v>0.215</v>
      </c>
      <c r="K29" s="203">
        <f t="shared" ref="K29" si="6">+IF(E29&lt;=0.12,(J31),(IF(E29&lt;0.16,((J30+2*J31+J32)/4),IF(E29&gt;=0.16,((J29+3*J30+2*J31+3*J32+J33)/10)))))</f>
        <v>0.39440000000000003</v>
      </c>
      <c r="L29" s="203">
        <f t="shared" ref="L29" si="7">ROUND(+(D24+D29)/2*(C29-C24),3)</f>
        <v>5.1999999999999998E-2</v>
      </c>
      <c r="M29" s="203">
        <f t="shared" ref="M29" si="8">ROUND(+K29*L29,4)</f>
        <v>2.0500000000000001E-2</v>
      </c>
      <c r="N29" s="206">
        <f t="shared" ref="N29" si="9">ROUND(+M29/$M$88*100,2)</f>
        <v>17.510000000000002</v>
      </c>
      <c r="O29" s="207"/>
      <c r="P29" s="208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s="47" customFormat="1" ht="13.5" customHeight="1" x14ac:dyDescent="0.25">
      <c r="A30" s="39"/>
      <c r="B30" s="224"/>
      <c r="C30" s="204"/>
      <c r="D30" s="204"/>
      <c r="E30" s="204"/>
      <c r="F30" s="55" t="s">
        <v>45</v>
      </c>
      <c r="G30" s="56">
        <f t="shared" ref="G30" si="10">IF(E29&lt;0.125,"NA",IF(0.125&lt;=E29,(0.2*E29)))</f>
        <v>4.7600000000000003E-2</v>
      </c>
      <c r="H30" s="57"/>
      <c r="I30" s="58"/>
      <c r="J30" s="59">
        <v>0.28499999999999998</v>
      </c>
      <c r="K30" s="204"/>
      <c r="L30" s="204"/>
      <c r="M30" s="204"/>
      <c r="N30" s="204"/>
      <c r="O30" s="204"/>
      <c r="P30" s="20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s="47" customFormat="1" ht="13.5" customHeight="1" x14ac:dyDescent="0.25">
      <c r="A31" s="39"/>
      <c r="B31" s="224"/>
      <c r="C31" s="204"/>
      <c r="D31" s="204"/>
      <c r="E31" s="204"/>
      <c r="F31" s="55" t="s">
        <v>46</v>
      </c>
      <c r="G31" s="56">
        <f t="shared" ref="G31" si="11">+E29*0.4</f>
        <v>9.5200000000000007E-2</v>
      </c>
      <c r="H31" s="57"/>
      <c r="I31" s="58"/>
      <c r="J31" s="59">
        <v>0.30299999999999999</v>
      </c>
      <c r="K31" s="204"/>
      <c r="L31" s="204"/>
      <c r="M31" s="204"/>
      <c r="N31" s="204"/>
      <c r="O31" s="204"/>
      <c r="P31" s="20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s="47" customFormat="1" ht="13.5" customHeight="1" x14ac:dyDescent="0.25">
      <c r="A32" s="39"/>
      <c r="B32" s="224"/>
      <c r="C32" s="204"/>
      <c r="D32" s="204"/>
      <c r="E32" s="204"/>
      <c r="F32" s="55" t="s">
        <v>47</v>
      </c>
      <c r="G32" s="56">
        <f t="shared" ref="G32" si="12">IF(E29&lt;0.125,"NA",IF(0.125&lt;=E29,(0.8*E29)))</f>
        <v>0.19040000000000001</v>
      </c>
      <c r="H32" s="57"/>
      <c r="I32" s="58"/>
      <c r="J32" s="59">
        <v>0.57099999999999995</v>
      </c>
      <c r="K32" s="204"/>
      <c r="L32" s="204"/>
      <c r="M32" s="204"/>
      <c r="N32" s="204"/>
      <c r="O32" s="204"/>
      <c r="P32" s="20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s="47" customFormat="1" ht="13.5" customHeight="1" thickBot="1" x14ac:dyDescent="0.3">
      <c r="A33" s="39"/>
      <c r="B33" s="225"/>
      <c r="C33" s="205"/>
      <c r="D33" s="205"/>
      <c r="E33" s="205"/>
      <c r="F33" s="60" t="s">
        <v>48</v>
      </c>
      <c r="G33" s="61">
        <f t="shared" ref="G33" si="13">+E29</f>
        <v>0.23799999999999999</v>
      </c>
      <c r="H33" s="62"/>
      <c r="I33" s="63"/>
      <c r="J33" s="64">
        <v>0.55500000000000005</v>
      </c>
      <c r="K33" s="205"/>
      <c r="L33" s="205"/>
      <c r="M33" s="205"/>
      <c r="N33" s="205"/>
      <c r="O33" s="205"/>
      <c r="P33" s="210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s="47" customFormat="1" ht="13.5" customHeight="1" x14ac:dyDescent="0.25">
      <c r="A34" s="39"/>
      <c r="B34" s="223">
        <v>4</v>
      </c>
      <c r="C34" s="226">
        <f>+C29+$N$12</f>
        <v>1.05</v>
      </c>
      <c r="D34" s="203">
        <v>0.26200000000000001</v>
      </c>
      <c r="E34" s="203">
        <v>0.30299999999999999</v>
      </c>
      <c r="F34" s="50" t="s">
        <v>44</v>
      </c>
      <c r="G34" s="51">
        <v>0</v>
      </c>
      <c r="H34" s="52"/>
      <c r="I34" s="53"/>
      <c r="J34" s="54"/>
      <c r="K34" s="203"/>
      <c r="L34" s="203"/>
      <c r="M34" s="203"/>
      <c r="N34" s="206"/>
      <c r="O34" s="207"/>
      <c r="P34" s="208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s="47" customFormat="1" ht="13.5" customHeight="1" x14ac:dyDescent="0.25">
      <c r="A35" s="39"/>
      <c r="B35" s="224"/>
      <c r="C35" s="204"/>
      <c r="D35" s="204"/>
      <c r="E35" s="204"/>
      <c r="F35" s="55" t="s">
        <v>45</v>
      </c>
      <c r="G35" s="56">
        <f t="shared" ref="G35" si="14">IF(E34&lt;0.125,"NA",IF(0.125&lt;=E34,(0.2*E34)))</f>
        <v>6.0600000000000001E-2</v>
      </c>
      <c r="H35" s="57"/>
      <c r="I35" s="58"/>
      <c r="J35" s="59"/>
      <c r="K35" s="204"/>
      <c r="L35" s="204"/>
      <c r="M35" s="204"/>
      <c r="N35" s="204"/>
      <c r="O35" s="204"/>
      <c r="P35" s="20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s="47" customFormat="1" ht="13.5" customHeight="1" x14ac:dyDescent="0.25">
      <c r="A36" s="39"/>
      <c r="B36" s="224"/>
      <c r="C36" s="204"/>
      <c r="D36" s="204"/>
      <c r="E36" s="204"/>
      <c r="F36" s="55" t="s">
        <v>46</v>
      </c>
      <c r="G36" s="56">
        <f t="shared" ref="G36" si="15">+E34*0.4</f>
        <v>0.1212</v>
      </c>
      <c r="H36" s="57"/>
      <c r="I36" s="58"/>
      <c r="J36" s="59"/>
      <c r="K36" s="204"/>
      <c r="L36" s="204"/>
      <c r="M36" s="204"/>
      <c r="N36" s="204"/>
      <c r="O36" s="204"/>
      <c r="P36" s="20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s="47" customFormat="1" ht="13.5" customHeight="1" x14ac:dyDescent="0.25">
      <c r="A37" s="39"/>
      <c r="B37" s="224"/>
      <c r="C37" s="204"/>
      <c r="D37" s="204"/>
      <c r="E37" s="204"/>
      <c r="F37" s="55" t="s">
        <v>47</v>
      </c>
      <c r="G37" s="56">
        <f t="shared" ref="G37" si="16">IF(E34&lt;0.125,"NA",IF(0.125&lt;=E34,(0.8*E34)))</f>
        <v>0.2424</v>
      </c>
      <c r="H37" s="57"/>
      <c r="I37" s="58"/>
      <c r="J37" s="59"/>
      <c r="K37" s="204"/>
      <c r="L37" s="204"/>
      <c r="M37" s="204"/>
      <c r="N37" s="204"/>
      <c r="O37" s="204"/>
      <c r="P37" s="20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s="47" customFormat="1" ht="13.5" customHeight="1" thickBot="1" x14ac:dyDescent="0.3">
      <c r="A38" s="39"/>
      <c r="B38" s="225"/>
      <c r="C38" s="205"/>
      <c r="D38" s="205"/>
      <c r="E38" s="205"/>
      <c r="F38" s="60" t="s">
        <v>48</v>
      </c>
      <c r="G38" s="61">
        <f t="shared" ref="G38" si="17">+E34</f>
        <v>0.30299999999999999</v>
      </c>
      <c r="H38" s="62"/>
      <c r="I38" s="63"/>
      <c r="J38" s="64"/>
      <c r="K38" s="205"/>
      <c r="L38" s="205"/>
      <c r="M38" s="205"/>
      <c r="N38" s="205"/>
      <c r="O38" s="205"/>
      <c r="P38" s="210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s="47" customFormat="1" ht="13.5" customHeight="1" x14ac:dyDescent="0.25">
      <c r="A39" s="39"/>
      <c r="B39" s="223">
        <v>5</v>
      </c>
      <c r="C39" s="226">
        <f>+C34+$N$12</f>
        <v>1.25</v>
      </c>
      <c r="D39" s="203">
        <v>0.221</v>
      </c>
      <c r="E39" s="203">
        <v>0.216</v>
      </c>
      <c r="F39" s="50" t="s">
        <v>44</v>
      </c>
      <c r="G39" s="51">
        <v>0</v>
      </c>
      <c r="H39" s="52"/>
      <c r="I39" s="53"/>
      <c r="J39" s="54">
        <v>0.29399999999999998</v>
      </c>
      <c r="K39" s="203">
        <f t="shared" ref="K39" si="18">+IF(E39&lt;=0.12,(J41),(IF(E39&lt;0.16,((J40+2*J41+J42)/4),IF(E39&gt;=0.16,((J39+3*J40+2*J41+3*J42+J43)/10)))))</f>
        <v>0.31530000000000002</v>
      </c>
      <c r="L39" s="203">
        <f t="shared" ref="L39" si="19">ROUND(+(D34+D39)/2*(C39-C34),3)</f>
        <v>4.8000000000000001E-2</v>
      </c>
      <c r="M39" s="203">
        <f t="shared" ref="M39" si="20">ROUND(+K39*L39,4)</f>
        <v>1.5100000000000001E-2</v>
      </c>
      <c r="N39" s="206">
        <f t="shared" ref="N39" si="21">ROUND(+M39/$M$88*100,2)</f>
        <v>12.89</v>
      </c>
      <c r="O39" s="207"/>
      <c r="P39" s="208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s="47" customFormat="1" ht="13.5" customHeight="1" x14ac:dyDescent="0.25">
      <c r="A40" s="39"/>
      <c r="B40" s="224"/>
      <c r="C40" s="204"/>
      <c r="D40" s="204"/>
      <c r="E40" s="204"/>
      <c r="F40" s="55" t="s">
        <v>45</v>
      </c>
      <c r="G40" s="56">
        <f t="shared" ref="G40" si="22">IF(E39&lt;0.125,"NA",IF(0.125&lt;=E39,(0.2*E39)))</f>
        <v>4.3200000000000002E-2</v>
      </c>
      <c r="H40" s="57"/>
      <c r="I40" s="58"/>
      <c r="J40" s="59">
        <v>0.312</v>
      </c>
      <c r="K40" s="204"/>
      <c r="L40" s="204"/>
      <c r="M40" s="204"/>
      <c r="N40" s="204"/>
      <c r="O40" s="204"/>
      <c r="P40" s="20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s="47" customFormat="1" ht="13.5" customHeight="1" x14ac:dyDescent="0.25">
      <c r="A41" s="39"/>
      <c r="B41" s="224"/>
      <c r="C41" s="204"/>
      <c r="D41" s="204"/>
      <c r="E41" s="204"/>
      <c r="F41" s="55" t="s">
        <v>46</v>
      </c>
      <c r="G41" s="56">
        <f t="shared" ref="G41" si="23">+E39*0.4</f>
        <v>8.6400000000000005E-2</v>
      </c>
      <c r="H41" s="57"/>
      <c r="I41" s="58"/>
      <c r="J41" s="59">
        <v>0.311</v>
      </c>
      <c r="K41" s="204"/>
      <c r="L41" s="204"/>
      <c r="M41" s="204"/>
      <c r="N41" s="204"/>
      <c r="O41" s="204"/>
      <c r="P41" s="20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s="47" customFormat="1" ht="13.5" customHeight="1" x14ac:dyDescent="0.25">
      <c r="A42" s="39"/>
      <c r="B42" s="224"/>
      <c r="C42" s="204"/>
      <c r="D42" s="204"/>
      <c r="E42" s="204"/>
      <c r="F42" s="55" t="s">
        <v>47</v>
      </c>
      <c r="G42" s="56">
        <f t="shared" ref="G42" si="24">IF(E39&lt;0.125,"NA",IF(0.125&lt;=E39,(0.8*E39)))</f>
        <v>0.17280000000000001</v>
      </c>
      <c r="H42" s="57"/>
      <c r="I42" s="58"/>
      <c r="J42" s="59">
        <v>0.32500000000000001</v>
      </c>
      <c r="K42" s="204"/>
      <c r="L42" s="204"/>
      <c r="M42" s="204"/>
      <c r="N42" s="204"/>
      <c r="O42" s="204"/>
      <c r="P42" s="20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s="47" customFormat="1" ht="13.5" customHeight="1" thickBot="1" x14ac:dyDescent="0.3">
      <c r="A43" s="39"/>
      <c r="B43" s="225"/>
      <c r="C43" s="205"/>
      <c r="D43" s="205"/>
      <c r="E43" s="205"/>
      <c r="F43" s="60" t="s">
        <v>48</v>
      </c>
      <c r="G43" s="61">
        <f t="shared" ref="G43" si="25">+E39</f>
        <v>0.216</v>
      </c>
      <c r="H43" s="62"/>
      <c r="I43" s="63"/>
      <c r="J43" s="64">
        <v>0.32600000000000001</v>
      </c>
      <c r="K43" s="205"/>
      <c r="L43" s="205"/>
      <c r="M43" s="205"/>
      <c r="N43" s="205"/>
      <c r="O43" s="205"/>
      <c r="P43" s="210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s="47" customFormat="1" ht="13.5" customHeight="1" x14ac:dyDescent="0.25">
      <c r="A44" s="39"/>
      <c r="B44" s="223">
        <v>6</v>
      </c>
      <c r="C44" s="226">
        <f>+C39+$N$12</f>
        <v>1.45</v>
      </c>
      <c r="D44" s="203">
        <v>0.13</v>
      </c>
      <c r="E44" s="203">
        <v>0.126</v>
      </c>
      <c r="F44" s="50" t="s">
        <v>44</v>
      </c>
      <c r="G44" s="51">
        <v>0</v>
      </c>
      <c r="H44" s="52"/>
      <c r="I44" s="53"/>
      <c r="J44" s="54"/>
      <c r="K44" s="203">
        <f t="shared" ref="K44" si="26">+IF(E44&lt;=0.12,(J46),(IF(E44&lt;0.16,((J45+2*J46+J47)/4),IF(E44&gt;=0.16,((J44+3*J45+2*J46+3*J47+J48)/10)))))</f>
        <v>0.25600000000000001</v>
      </c>
      <c r="L44" s="203">
        <f t="shared" ref="L44" si="27">ROUND(+(D39+D44)/2*(C44-C39),3)</f>
        <v>3.5000000000000003E-2</v>
      </c>
      <c r="M44" s="203">
        <f t="shared" ref="M44" si="28">ROUND(+K44*L44,4)</f>
        <v>8.9999999999999993E-3</v>
      </c>
      <c r="N44" s="206">
        <f t="shared" ref="N44" si="29">ROUND(+M44/$M$88*100,2)</f>
        <v>7.69</v>
      </c>
      <c r="O44" s="207"/>
      <c r="P44" s="208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s="47" customFormat="1" ht="13.5" customHeight="1" x14ac:dyDescent="0.25">
      <c r="A45" s="39"/>
      <c r="B45" s="224"/>
      <c r="C45" s="204"/>
      <c r="D45" s="204"/>
      <c r="E45" s="204"/>
      <c r="F45" s="55" t="s">
        <v>45</v>
      </c>
      <c r="G45" s="56">
        <f t="shared" ref="G45" si="30">IF(E44&lt;0.125,"NA",IF(0.125&lt;=E44,(0.2*E44)))</f>
        <v>2.52E-2</v>
      </c>
      <c r="H45" s="57"/>
      <c r="I45" s="58"/>
      <c r="J45" s="59">
        <v>0.247</v>
      </c>
      <c r="K45" s="204"/>
      <c r="L45" s="204"/>
      <c r="M45" s="204"/>
      <c r="N45" s="204"/>
      <c r="O45" s="204"/>
      <c r="P45" s="20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s="47" customFormat="1" ht="13.5" customHeight="1" x14ac:dyDescent="0.25">
      <c r="A46" s="39"/>
      <c r="B46" s="224"/>
      <c r="C46" s="204"/>
      <c r="D46" s="204"/>
      <c r="E46" s="204"/>
      <c r="F46" s="55" t="s">
        <v>46</v>
      </c>
      <c r="G46" s="56">
        <f t="shared" ref="G46" si="31">+E44*0.4</f>
        <v>5.04E-2</v>
      </c>
      <c r="H46" s="57"/>
      <c r="I46" s="58"/>
      <c r="J46" s="59">
        <v>0.26</v>
      </c>
      <c r="K46" s="204"/>
      <c r="L46" s="204"/>
      <c r="M46" s="204"/>
      <c r="N46" s="204"/>
      <c r="O46" s="204"/>
      <c r="P46" s="20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s="47" customFormat="1" ht="13.5" customHeight="1" x14ac:dyDescent="0.25">
      <c r="A47" s="39"/>
      <c r="B47" s="224"/>
      <c r="C47" s="204"/>
      <c r="D47" s="204"/>
      <c r="E47" s="204"/>
      <c r="F47" s="55" t="s">
        <v>47</v>
      </c>
      <c r="G47" s="56">
        <f t="shared" ref="G47" si="32">IF(E44&lt;0.125,"NA",IF(0.125&lt;=E44,(0.8*E44)))</f>
        <v>0.1008</v>
      </c>
      <c r="H47" s="57"/>
      <c r="I47" s="58"/>
      <c r="J47" s="59">
        <v>0.25700000000000001</v>
      </c>
      <c r="K47" s="204"/>
      <c r="L47" s="204"/>
      <c r="M47" s="204"/>
      <c r="N47" s="204"/>
      <c r="O47" s="204"/>
      <c r="P47" s="20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s="47" customFormat="1" ht="13.5" customHeight="1" thickBot="1" x14ac:dyDescent="0.3">
      <c r="A48" s="39"/>
      <c r="B48" s="225"/>
      <c r="C48" s="205"/>
      <c r="D48" s="205"/>
      <c r="E48" s="205"/>
      <c r="F48" s="60" t="s">
        <v>48</v>
      </c>
      <c r="G48" s="61">
        <f t="shared" ref="G48" si="33">+E44</f>
        <v>0.126</v>
      </c>
      <c r="H48" s="62"/>
      <c r="I48" s="63"/>
      <c r="J48" s="64"/>
      <c r="K48" s="205"/>
      <c r="L48" s="205"/>
      <c r="M48" s="205"/>
      <c r="N48" s="205"/>
      <c r="O48" s="205"/>
      <c r="P48" s="210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s="47" customFormat="1" ht="13.5" customHeight="1" x14ac:dyDescent="0.25">
      <c r="A49" s="39"/>
      <c r="B49" s="223">
        <v>7</v>
      </c>
      <c r="C49" s="226">
        <f>+C44+$N$12</f>
        <v>1.65</v>
      </c>
      <c r="D49" s="203">
        <v>5.6000000000000001E-2</v>
      </c>
      <c r="E49" s="203">
        <v>0.126</v>
      </c>
      <c r="F49" s="50" t="s">
        <v>44</v>
      </c>
      <c r="G49" s="51">
        <v>0</v>
      </c>
      <c r="H49" s="52"/>
      <c r="I49" s="53"/>
      <c r="J49" s="54"/>
      <c r="K49" s="203">
        <f t="shared" ref="K49" si="34">+IF(E49&lt;=0.12,(J51),(IF(E49&lt;0.16,((J50+2*J51+J52)/4),IF(E49&gt;=0.16,((J49+3*J50+2*J51+3*J52+J53)/10)))))</f>
        <v>0.1095</v>
      </c>
      <c r="L49" s="203">
        <f t="shared" ref="L49" si="35">ROUND(+(D44+D49)/2*(C49-C44),3)</f>
        <v>1.9E-2</v>
      </c>
      <c r="M49" s="203">
        <f t="shared" ref="M49" si="36">ROUND(+K49*L49,4)</f>
        <v>2.0999999999999999E-3</v>
      </c>
      <c r="N49" s="206">
        <f t="shared" ref="N49" si="37">ROUND(+M49/$M$88*100,2)</f>
        <v>1.79</v>
      </c>
      <c r="O49" s="207"/>
      <c r="P49" s="208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s="47" customFormat="1" ht="13.5" customHeight="1" x14ac:dyDescent="0.25">
      <c r="A50" s="39"/>
      <c r="B50" s="224"/>
      <c r="C50" s="204"/>
      <c r="D50" s="204"/>
      <c r="E50" s="204"/>
      <c r="F50" s="55" t="s">
        <v>45</v>
      </c>
      <c r="G50" s="56">
        <f t="shared" ref="G50" si="38">IF(E49&lt;0.125,"NA",IF(0.125&lt;=E49,(0.2*E49)))</f>
        <v>2.52E-2</v>
      </c>
      <c r="H50" s="57"/>
      <c r="I50" s="58"/>
      <c r="J50" s="59">
        <v>7.2999999999999995E-2</v>
      </c>
      <c r="K50" s="204"/>
      <c r="L50" s="204"/>
      <c r="M50" s="204"/>
      <c r="N50" s="204"/>
      <c r="O50" s="204"/>
      <c r="P50" s="20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s="47" customFormat="1" ht="13.5" customHeight="1" x14ac:dyDescent="0.25">
      <c r="A51" s="39"/>
      <c r="B51" s="224"/>
      <c r="C51" s="204"/>
      <c r="D51" s="204"/>
      <c r="E51" s="204"/>
      <c r="F51" s="55" t="s">
        <v>46</v>
      </c>
      <c r="G51" s="56">
        <f t="shared" ref="G51" si="39">+E49*0.4</f>
        <v>5.04E-2</v>
      </c>
      <c r="H51" s="57"/>
      <c r="I51" s="58"/>
      <c r="J51" s="59">
        <v>0.127</v>
      </c>
      <c r="K51" s="204"/>
      <c r="L51" s="204"/>
      <c r="M51" s="204"/>
      <c r="N51" s="204"/>
      <c r="O51" s="204"/>
      <c r="P51" s="20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s="47" customFormat="1" ht="13.5" customHeight="1" x14ac:dyDescent="0.25">
      <c r="A52" s="39"/>
      <c r="B52" s="224"/>
      <c r="C52" s="204"/>
      <c r="D52" s="204"/>
      <c r="E52" s="204"/>
      <c r="F52" s="55" t="s">
        <v>47</v>
      </c>
      <c r="G52" s="56">
        <f t="shared" ref="G52" si="40">IF(E49&lt;0.125,"NA",IF(0.125&lt;=E49,(0.8*E49)))</f>
        <v>0.1008</v>
      </c>
      <c r="H52" s="57"/>
      <c r="I52" s="58"/>
      <c r="J52" s="59">
        <v>0.111</v>
      </c>
      <c r="K52" s="204"/>
      <c r="L52" s="204"/>
      <c r="M52" s="204"/>
      <c r="N52" s="204"/>
      <c r="O52" s="204"/>
      <c r="P52" s="20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s="47" customFormat="1" ht="13.5" customHeight="1" thickBot="1" x14ac:dyDescent="0.3">
      <c r="A53" s="39"/>
      <c r="B53" s="225"/>
      <c r="C53" s="205"/>
      <c r="D53" s="205"/>
      <c r="E53" s="205"/>
      <c r="F53" s="60" t="s">
        <v>48</v>
      </c>
      <c r="G53" s="61">
        <f t="shared" ref="G53" si="41">+E49</f>
        <v>0.126</v>
      </c>
      <c r="H53" s="62"/>
      <c r="I53" s="63"/>
      <c r="J53" s="64"/>
      <c r="K53" s="205"/>
      <c r="L53" s="205"/>
      <c r="M53" s="205"/>
      <c r="N53" s="205"/>
      <c r="O53" s="205"/>
      <c r="P53" s="210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s="47" customFormat="1" ht="13.5" customHeight="1" x14ac:dyDescent="0.25">
      <c r="A54" s="39"/>
      <c r="B54" s="223">
        <v>8</v>
      </c>
      <c r="C54" s="226">
        <f>+C49+$N$12</f>
        <v>1.8499999999999999</v>
      </c>
      <c r="D54" s="203">
        <v>6.5000000000000002E-2</v>
      </c>
      <c r="E54" s="203">
        <v>5.2999999999999999E-2</v>
      </c>
      <c r="F54" s="50" t="s">
        <v>44</v>
      </c>
      <c r="G54" s="51">
        <v>0</v>
      </c>
      <c r="H54" s="52"/>
      <c r="I54" s="53"/>
      <c r="J54" s="54"/>
      <c r="K54" s="203">
        <f t="shared" ref="K54" si="42">+IF(E54&lt;=0.12,(J56),(IF(E54&lt;0.16,((J55+2*J56+J57)/4),IF(E54&gt;=0.16,((J54+3*J55+2*J56+3*J57+J58)/10)))))</f>
        <v>0.107</v>
      </c>
      <c r="L54" s="203">
        <f t="shared" ref="L54" si="43">ROUND(+(D49+D54)/2*(C54-C49),3)</f>
        <v>1.2E-2</v>
      </c>
      <c r="M54" s="203">
        <f t="shared" ref="M54" si="44">ROUND(+K54*L54,4)</f>
        <v>1.2999999999999999E-3</v>
      </c>
      <c r="N54" s="206">
        <f t="shared" ref="N54" si="45">ROUND(+M54/$M$88*100,2)</f>
        <v>1.1100000000000001</v>
      </c>
      <c r="O54" s="207"/>
      <c r="P54" s="208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s="47" customFormat="1" ht="13.5" customHeight="1" x14ac:dyDescent="0.25">
      <c r="A55" s="39"/>
      <c r="B55" s="224"/>
      <c r="C55" s="204"/>
      <c r="D55" s="204"/>
      <c r="E55" s="204"/>
      <c r="F55" s="55" t="s">
        <v>45</v>
      </c>
      <c r="G55" s="56" t="str">
        <f t="shared" ref="G55" si="46">IF(E54&lt;0.125,"NA",IF(0.125&lt;=E54,(0.2*E54)))</f>
        <v>NA</v>
      </c>
      <c r="H55" s="57"/>
      <c r="I55" s="58"/>
      <c r="J55" s="59"/>
      <c r="K55" s="204"/>
      <c r="L55" s="204"/>
      <c r="M55" s="204"/>
      <c r="N55" s="204"/>
      <c r="O55" s="204"/>
      <c r="P55" s="20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s="47" customFormat="1" ht="13.5" customHeight="1" x14ac:dyDescent="0.25">
      <c r="A56" s="39"/>
      <c r="B56" s="224"/>
      <c r="C56" s="204"/>
      <c r="D56" s="204"/>
      <c r="E56" s="204"/>
      <c r="F56" s="55" t="s">
        <v>46</v>
      </c>
      <c r="G56" s="56">
        <f t="shared" ref="G56" si="47">+E54*0.4</f>
        <v>2.12E-2</v>
      </c>
      <c r="H56" s="57"/>
      <c r="I56" s="58"/>
      <c r="J56" s="59">
        <v>0.107</v>
      </c>
      <c r="K56" s="204"/>
      <c r="L56" s="204"/>
      <c r="M56" s="204"/>
      <c r="N56" s="204"/>
      <c r="O56" s="204"/>
      <c r="P56" s="20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s="47" customFormat="1" ht="13.5" customHeight="1" x14ac:dyDescent="0.25">
      <c r="A57" s="39"/>
      <c r="B57" s="224"/>
      <c r="C57" s="204"/>
      <c r="D57" s="204"/>
      <c r="E57" s="204"/>
      <c r="F57" s="55" t="s">
        <v>47</v>
      </c>
      <c r="G57" s="56" t="str">
        <f t="shared" ref="G57" si="48">IF(E54&lt;0.125,"NA",IF(0.125&lt;=E54,(0.8*E54)))</f>
        <v>NA</v>
      </c>
      <c r="H57" s="57"/>
      <c r="I57" s="58"/>
      <c r="J57" s="59"/>
      <c r="K57" s="204"/>
      <c r="L57" s="204"/>
      <c r="M57" s="204"/>
      <c r="N57" s="204"/>
      <c r="O57" s="204"/>
      <c r="P57" s="20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s="47" customFormat="1" ht="13.5" customHeight="1" thickBot="1" x14ac:dyDescent="0.3">
      <c r="A58" s="39"/>
      <c r="B58" s="225"/>
      <c r="C58" s="205"/>
      <c r="D58" s="205"/>
      <c r="E58" s="205"/>
      <c r="F58" s="60" t="s">
        <v>48</v>
      </c>
      <c r="G58" s="61">
        <f t="shared" ref="G58" si="49">+E54</f>
        <v>5.2999999999999999E-2</v>
      </c>
      <c r="H58" s="62"/>
      <c r="I58" s="63"/>
      <c r="J58" s="64"/>
      <c r="K58" s="205"/>
      <c r="L58" s="205"/>
      <c r="M58" s="205"/>
      <c r="N58" s="205"/>
      <c r="O58" s="205"/>
      <c r="P58" s="210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s="47" customFormat="1" ht="13.5" customHeight="1" x14ac:dyDescent="0.25">
      <c r="A59" s="39"/>
      <c r="B59" s="223">
        <v>9</v>
      </c>
      <c r="C59" s="226">
        <f>+C54+$N$12</f>
        <v>2.0499999999999998</v>
      </c>
      <c r="D59" s="203">
        <v>5.7000000000000002E-2</v>
      </c>
      <c r="E59" s="203">
        <v>6.6000000000000003E-2</v>
      </c>
      <c r="F59" s="50" t="s">
        <v>44</v>
      </c>
      <c r="G59" s="51">
        <v>0</v>
      </c>
      <c r="H59" s="52"/>
      <c r="I59" s="53"/>
      <c r="J59" s="54"/>
      <c r="K59" s="203">
        <f t="shared" ref="K59" si="50">+IF(E59&lt;=0.12,(J61),(IF(E59&lt;0.16,((J60+2*J61+J62)/4),IF(E59&gt;=0.16,((J59+3*J60+2*J61+3*J62+J63)/10)))))</f>
        <v>0.23400000000000001</v>
      </c>
      <c r="L59" s="203">
        <f t="shared" ref="L59" si="51">ROUND(+(D54+D59)/2*(C59-C54),3)</f>
        <v>1.2E-2</v>
      </c>
      <c r="M59" s="203">
        <f t="shared" ref="M59" si="52">ROUND(+K59*L59,4)</f>
        <v>2.8E-3</v>
      </c>
      <c r="N59" s="206">
        <f t="shared" ref="N59" si="53">ROUND(+M59/$M$88*100,2)</f>
        <v>2.39</v>
      </c>
      <c r="O59" s="207"/>
      <c r="P59" s="208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s="47" customFormat="1" ht="13.5" customHeight="1" x14ac:dyDescent="0.25">
      <c r="A60" s="39"/>
      <c r="B60" s="224"/>
      <c r="C60" s="204"/>
      <c r="D60" s="204"/>
      <c r="E60" s="204"/>
      <c r="F60" s="55" t="s">
        <v>45</v>
      </c>
      <c r="G60" s="56" t="str">
        <f t="shared" ref="G60" si="54">IF(E59&lt;0.125,"NA",IF(0.125&lt;=E59,(0.2*E59)))</f>
        <v>NA</v>
      </c>
      <c r="H60" s="57"/>
      <c r="I60" s="58"/>
      <c r="J60" s="59"/>
      <c r="K60" s="204"/>
      <c r="L60" s="204"/>
      <c r="M60" s="204"/>
      <c r="N60" s="204"/>
      <c r="O60" s="204"/>
      <c r="P60" s="20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s="47" customFormat="1" ht="13.5" customHeight="1" x14ac:dyDescent="0.25">
      <c r="A61" s="39"/>
      <c r="B61" s="224"/>
      <c r="C61" s="204"/>
      <c r="D61" s="204"/>
      <c r="E61" s="204"/>
      <c r="F61" s="55" t="s">
        <v>46</v>
      </c>
      <c r="G61" s="56">
        <f t="shared" ref="G61" si="55">+E59*0.4</f>
        <v>2.6400000000000003E-2</v>
      </c>
      <c r="H61" s="57"/>
      <c r="I61" s="58"/>
      <c r="J61" s="59">
        <v>0.23400000000000001</v>
      </c>
      <c r="K61" s="204"/>
      <c r="L61" s="204"/>
      <c r="M61" s="204"/>
      <c r="N61" s="204"/>
      <c r="O61" s="204"/>
      <c r="P61" s="20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s="47" customFormat="1" ht="13.5" customHeight="1" x14ac:dyDescent="0.25">
      <c r="A62" s="39"/>
      <c r="B62" s="224"/>
      <c r="C62" s="204"/>
      <c r="D62" s="204"/>
      <c r="E62" s="204"/>
      <c r="F62" s="55" t="s">
        <v>47</v>
      </c>
      <c r="G62" s="56" t="str">
        <f t="shared" ref="G62" si="56">IF(E59&lt;0.125,"NA",IF(0.125&lt;=E59,(0.8*E59)))</f>
        <v>NA</v>
      </c>
      <c r="H62" s="57"/>
      <c r="I62" s="58"/>
      <c r="J62" s="59"/>
      <c r="K62" s="204"/>
      <c r="L62" s="204"/>
      <c r="M62" s="204"/>
      <c r="N62" s="204"/>
      <c r="O62" s="204"/>
      <c r="P62" s="20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s="47" customFormat="1" ht="13.5" customHeight="1" thickBot="1" x14ac:dyDescent="0.3">
      <c r="A63" s="39"/>
      <c r="B63" s="225"/>
      <c r="C63" s="205"/>
      <c r="D63" s="205"/>
      <c r="E63" s="205"/>
      <c r="F63" s="60" t="s">
        <v>48</v>
      </c>
      <c r="G63" s="61">
        <f t="shared" ref="G63" si="57">+E59</f>
        <v>6.6000000000000003E-2</v>
      </c>
      <c r="H63" s="62"/>
      <c r="I63" s="63"/>
      <c r="J63" s="64"/>
      <c r="K63" s="205"/>
      <c r="L63" s="205"/>
      <c r="M63" s="205"/>
      <c r="N63" s="205"/>
      <c r="O63" s="205"/>
      <c r="P63" s="210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s="47" customFormat="1" ht="13.5" customHeight="1" x14ac:dyDescent="0.25">
      <c r="A64" s="39"/>
      <c r="B64" s="223">
        <v>10</v>
      </c>
      <c r="C64" s="226">
        <f>+C59+0.15</f>
        <v>2.1999999999999997</v>
      </c>
      <c r="D64" s="203">
        <v>0</v>
      </c>
      <c r="E64" s="203">
        <v>0.05</v>
      </c>
      <c r="F64" s="50" t="s">
        <v>44</v>
      </c>
      <c r="G64" s="51">
        <v>0</v>
      </c>
      <c r="H64" s="52"/>
      <c r="I64" s="53"/>
      <c r="J64" s="54"/>
      <c r="K64" s="203">
        <f t="shared" ref="K64" si="58">+IF(E64&lt;=0.12,(J66),(IF(E64&lt;0.16,((J65+2*J66+J67)/4),IF(E64&gt;=0.16,((J64+3*J65+2*J66+3*J67+J68)/10)))))</f>
        <v>0.19700000000000001</v>
      </c>
      <c r="L64" s="203">
        <f>ROUND(+(D59+D64)/2*(C64-C59),3)</f>
        <v>4.0000000000000001E-3</v>
      </c>
      <c r="M64" s="203">
        <f t="shared" ref="M64" si="59">ROUND(+K64*L64,4)</f>
        <v>8.0000000000000004E-4</v>
      </c>
      <c r="N64" s="206">
        <f t="shared" ref="N64" si="60">ROUND(+M64/$M$88*100,2)</f>
        <v>0.68</v>
      </c>
      <c r="O64" s="207"/>
      <c r="P64" s="208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s="47" customFormat="1" ht="13.5" customHeight="1" x14ac:dyDescent="0.25">
      <c r="A65" s="39"/>
      <c r="B65" s="224"/>
      <c r="C65" s="204"/>
      <c r="D65" s="204"/>
      <c r="E65" s="204"/>
      <c r="F65" s="55" t="s">
        <v>45</v>
      </c>
      <c r="G65" s="56" t="str">
        <f t="shared" ref="G65" si="61">IF(E64&lt;0.125,"NA",IF(0.125&lt;=E64,(0.2*E64)))</f>
        <v>NA</v>
      </c>
      <c r="H65" s="57"/>
      <c r="I65" s="58"/>
      <c r="J65" s="59"/>
      <c r="K65" s="204"/>
      <c r="L65" s="204"/>
      <c r="M65" s="204"/>
      <c r="N65" s="204"/>
      <c r="O65" s="204"/>
      <c r="P65" s="20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s="47" customFormat="1" ht="13.5" customHeight="1" x14ac:dyDescent="0.25">
      <c r="A66" s="39"/>
      <c r="B66" s="224"/>
      <c r="C66" s="204"/>
      <c r="D66" s="204"/>
      <c r="E66" s="204"/>
      <c r="F66" s="55" t="s">
        <v>46</v>
      </c>
      <c r="G66" s="56">
        <f t="shared" ref="G66" si="62">+E64*0.4</f>
        <v>2.0000000000000004E-2</v>
      </c>
      <c r="H66" s="57"/>
      <c r="I66" s="58"/>
      <c r="J66" s="59">
        <v>0.19700000000000001</v>
      </c>
      <c r="K66" s="204"/>
      <c r="L66" s="204"/>
      <c r="M66" s="204"/>
      <c r="N66" s="204"/>
      <c r="O66" s="204"/>
      <c r="P66" s="20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s="47" customFormat="1" ht="13.5" customHeight="1" x14ac:dyDescent="0.25">
      <c r="A67" s="39"/>
      <c r="B67" s="224"/>
      <c r="C67" s="204"/>
      <c r="D67" s="204"/>
      <c r="E67" s="204"/>
      <c r="F67" s="55" t="s">
        <v>47</v>
      </c>
      <c r="G67" s="56" t="str">
        <f t="shared" ref="G67" si="63">IF(E64&lt;0.125,"NA",IF(0.125&lt;=E64,(0.8*E64)))</f>
        <v>NA</v>
      </c>
      <c r="H67" s="57"/>
      <c r="I67" s="58"/>
      <c r="J67" s="59"/>
      <c r="K67" s="204"/>
      <c r="L67" s="204"/>
      <c r="M67" s="204"/>
      <c r="N67" s="204"/>
      <c r="O67" s="204"/>
      <c r="P67" s="20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s="47" customFormat="1" ht="13.5" customHeight="1" thickBot="1" x14ac:dyDescent="0.3">
      <c r="A68" s="39"/>
      <c r="B68" s="225"/>
      <c r="C68" s="205"/>
      <c r="D68" s="205"/>
      <c r="E68" s="205"/>
      <c r="F68" s="60" t="s">
        <v>48</v>
      </c>
      <c r="G68" s="61">
        <f t="shared" ref="G68" si="64">+E64</f>
        <v>0.05</v>
      </c>
      <c r="H68" s="62"/>
      <c r="I68" s="63"/>
      <c r="J68" s="64"/>
      <c r="K68" s="205"/>
      <c r="L68" s="205"/>
      <c r="M68" s="205"/>
      <c r="N68" s="205"/>
      <c r="O68" s="205"/>
      <c r="P68" s="210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s="65" customFormat="1" ht="14.1" customHeight="1" x14ac:dyDescent="0.2">
      <c r="B69" s="211" t="s">
        <v>49</v>
      </c>
      <c r="C69" s="214"/>
      <c r="D69" s="215"/>
      <c r="E69" s="215"/>
      <c r="F69" s="215"/>
      <c r="G69" s="215"/>
      <c r="H69" s="215"/>
      <c r="I69" s="215"/>
      <c r="J69" s="215"/>
      <c r="K69" s="215"/>
      <c r="L69" s="215"/>
      <c r="M69" s="215"/>
      <c r="N69" s="215"/>
      <c r="O69" s="215"/>
      <c r="P69" s="216"/>
    </row>
    <row r="70" spans="1:26" s="65" customFormat="1" ht="14.1" customHeight="1" x14ac:dyDescent="0.2">
      <c r="B70" s="212"/>
      <c r="C70" s="217"/>
      <c r="D70" s="218"/>
      <c r="E70" s="218"/>
      <c r="F70" s="218"/>
      <c r="G70" s="218"/>
      <c r="H70" s="218"/>
      <c r="I70" s="218"/>
      <c r="J70" s="218"/>
      <c r="K70" s="218"/>
      <c r="L70" s="218"/>
      <c r="M70" s="218"/>
      <c r="N70" s="218"/>
      <c r="O70" s="218"/>
      <c r="P70" s="219"/>
    </row>
    <row r="71" spans="1:26" s="65" customFormat="1" ht="14.1" customHeight="1" x14ac:dyDescent="0.2">
      <c r="B71" s="212"/>
      <c r="C71" s="217"/>
      <c r="D71" s="218"/>
      <c r="E71" s="218"/>
      <c r="F71" s="218"/>
      <c r="G71" s="218"/>
      <c r="H71" s="218"/>
      <c r="I71" s="218"/>
      <c r="J71" s="218"/>
      <c r="K71" s="218"/>
      <c r="L71" s="218"/>
      <c r="M71" s="218"/>
      <c r="N71" s="218"/>
      <c r="O71" s="218"/>
      <c r="P71" s="219"/>
    </row>
    <row r="72" spans="1:26" s="65" customFormat="1" ht="14.1" customHeight="1" x14ac:dyDescent="0.2">
      <c r="B72" s="212"/>
      <c r="C72" s="217"/>
      <c r="D72" s="218"/>
      <c r="E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9"/>
    </row>
    <row r="73" spans="1:26" s="65" customFormat="1" ht="14.1" customHeight="1" x14ac:dyDescent="0.2">
      <c r="B73" s="212"/>
      <c r="C73" s="217"/>
      <c r="D73" s="218"/>
      <c r="E73" s="218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219"/>
    </row>
    <row r="74" spans="1:26" s="65" customFormat="1" ht="14.1" customHeight="1" thickBot="1" x14ac:dyDescent="0.25">
      <c r="B74" s="213"/>
      <c r="C74" s="220"/>
      <c r="D74" s="221"/>
      <c r="E74" s="221"/>
      <c r="F74" s="221"/>
      <c r="G74" s="221"/>
      <c r="H74" s="221"/>
      <c r="I74" s="221"/>
      <c r="J74" s="221"/>
      <c r="K74" s="221"/>
      <c r="L74" s="221"/>
      <c r="M74" s="221"/>
      <c r="N74" s="221"/>
      <c r="O74" s="221"/>
      <c r="P74" s="222"/>
    </row>
    <row r="75" spans="1:26" s="65" customFormat="1" ht="28.5" customHeight="1" thickBot="1" x14ac:dyDescent="0.25">
      <c r="A75" s="67"/>
      <c r="B75" s="84" t="s">
        <v>50</v>
      </c>
      <c r="C75" s="190" t="s">
        <v>51</v>
      </c>
      <c r="D75" s="190"/>
      <c r="E75" s="190"/>
      <c r="F75" s="190"/>
      <c r="G75" s="190"/>
      <c r="H75" s="191"/>
      <c r="I75" s="192"/>
      <c r="J75" s="84" t="s">
        <v>52</v>
      </c>
      <c r="K75" s="190" t="s">
        <v>53</v>
      </c>
      <c r="L75" s="190"/>
      <c r="M75" s="190"/>
      <c r="N75" s="190"/>
      <c r="O75" s="190"/>
      <c r="P75" s="191"/>
    </row>
    <row r="76" spans="1:26" s="65" customFormat="1" ht="28.5" customHeight="1" thickBot="1" x14ac:dyDescent="0.25">
      <c r="B76" s="85" t="s">
        <v>54</v>
      </c>
      <c r="C76" s="194" t="s">
        <v>55</v>
      </c>
      <c r="D76" s="194"/>
      <c r="E76" s="194"/>
      <c r="F76" s="194"/>
      <c r="G76" s="194"/>
      <c r="H76" s="195"/>
      <c r="I76" s="193"/>
      <c r="J76" s="85" t="s">
        <v>56</v>
      </c>
      <c r="K76" s="194" t="s">
        <v>57</v>
      </c>
      <c r="L76" s="194"/>
      <c r="M76" s="194"/>
      <c r="N76" s="194"/>
      <c r="O76" s="194"/>
      <c r="P76" s="195"/>
    </row>
    <row r="77" spans="1:26" s="5" customFormat="1" ht="13.5" customHeight="1" x14ac:dyDescent="0.25">
      <c r="A77" s="68"/>
      <c r="B77" s="196">
        <f>+B34</f>
        <v>4</v>
      </c>
      <c r="C77" s="199">
        <f>+C29</f>
        <v>0.85000000000000009</v>
      </c>
      <c r="D77" s="201">
        <f>+D29</f>
        <v>0.26500000000000001</v>
      </c>
      <c r="E77" s="201">
        <f>+E34</f>
        <v>0.30299999999999999</v>
      </c>
      <c r="F77" s="69" t="s">
        <v>44</v>
      </c>
      <c r="G77" s="69">
        <v>0.01</v>
      </c>
      <c r="H77" s="70"/>
      <c r="I77" s="71"/>
      <c r="J77" s="72">
        <v>0.32900000000000001</v>
      </c>
      <c r="K77" s="202">
        <f>+AVERAGE(J77:J87)</f>
        <v>0.43354545454545457</v>
      </c>
      <c r="L77" s="182">
        <f>ROUND(+(D77+D82)/2*(C82-C77),3)</f>
        <v>5.2999999999999999E-2</v>
      </c>
      <c r="M77" s="185">
        <f>ROUND(+K77*L77,4)</f>
        <v>2.3E-2</v>
      </c>
      <c r="N77" s="182">
        <f>ROUND(+M77/$M$88*100,2)</f>
        <v>19.64</v>
      </c>
      <c r="O77" s="182"/>
      <c r="P77" s="18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spans="1:26" s="5" customFormat="1" ht="13.5" customHeight="1" x14ac:dyDescent="0.25">
      <c r="A78" s="68"/>
      <c r="B78" s="197"/>
      <c r="C78" s="183"/>
      <c r="D78" s="183"/>
      <c r="E78" s="183"/>
      <c r="F78" s="73" t="s">
        <v>58</v>
      </c>
      <c r="G78" s="74">
        <f>+E77*0.1</f>
        <v>3.0300000000000001E-2</v>
      </c>
      <c r="H78" s="75"/>
      <c r="I78" s="76"/>
      <c r="J78" s="77">
        <v>0.36299999999999999</v>
      </c>
      <c r="K78" s="183"/>
      <c r="L78" s="183"/>
      <c r="M78" s="183"/>
      <c r="N78" s="183"/>
      <c r="O78" s="183"/>
      <c r="P78" s="187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spans="1:26" s="5" customFormat="1" ht="13.5" customHeight="1" x14ac:dyDescent="0.25">
      <c r="A79" s="68"/>
      <c r="B79" s="197"/>
      <c r="C79" s="183"/>
      <c r="D79" s="183"/>
      <c r="E79" s="183"/>
      <c r="F79" s="73" t="s">
        <v>59</v>
      </c>
      <c r="G79" s="74">
        <f>+E77*0.2</f>
        <v>6.0600000000000001E-2</v>
      </c>
      <c r="H79" s="75"/>
      <c r="I79" s="76"/>
      <c r="J79" s="77">
        <v>0.36699999999999999</v>
      </c>
      <c r="K79" s="183"/>
      <c r="L79" s="183"/>
      <c r="M79" s="183"/>
      <c r="N79" s="183"/>
      <c r="O79" s="183"/>
      <c r="P79" s="187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spans="1:26" s="5" customFormat="1" ht="13.5" customHeight="1" x14ac:dyDescent="0.25">
      <c r="A80" s="68"/>
      <c r="B80" s="197"/>
      <c r="C80" s="183"/>
      <c r="D80" s="183"/>
      <c r="E80" s="183"/>
      <c r="F80" s="73" t="s">
        <v>60</v>
      </c>
      <c r="G80" s="74">
        <f>+E77*0.3</f>
        <v>9.0899999999999995E-2</v>
      </c>
      <c r="H80" s="75"/>
      <c r="I80" s="76"/>
      <c r="J80" s="77">
        <v>0.40899999999999997</v>
      </c>
      <c r="K80" s="183"/>
      <c r="L80" s="183"/>
      <c r="M80" s="183"/>
      <c r="N80" s="183"/>
      <c r="O80" s="183"/>
      <c r="P80" s="187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spans="1:26" s="5" customFormat="1" ht="13.5" customHeight="1" x14ac:dyDescent="0.25">
      <c r="A81" s="68"/>
      <c r="B81" s="197"/>
      <c r="C81" s="200"/>
      <c r="D81" s="200"/>
      <c r="E81" s="183"/>
      <c r="F81" s="73" t="s">
        <v>61</v>
      </c>
      <c r="G81" s="74">
        <f>+E77*0.4</f>
        <v>0.1212</v>
      </c>
      <c r="H81" s="75"/>
      <c r="I81" s="76"/>
      <c r="J81" s="77">
        <v>0.45200000000000001</v>
      </c>
      <c r="K81" s="183"/>
      <c r="L81" s="183"/>
      <c r="M81" s="183"/>
      <c r="N81" s="183"/>
      <c r="O81" s="183"/>
      <c r="P81" s="187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spans="1:26" s="5" customFormat="1" ht="13.5" customHeight="1" x14ac:dyDescent="0.25">
      <c r="A82" s="68"/>
      <c r="B82" s="197"/>
      <c r="C82" s="188">
        <f>+C34</f>
        <v>1.05</v>
      </c>
      <c r="D82" s="189">
        <f>+D34</f>
        <v>0.26200000000000001</v>
      </c>
      <c r="E82" s="183"/>
      <c r="F82" s="73" t="s">
        <v>62</v>
      </c>
      <c r="G82" s="74">
        <f>+E77*0.5</f>
        <v>0.1515</v>
      </c>
      <c r="H82" s="75"/>
      <c r="I82" s="76"/>
      <c r="J82" s="77">
        <v>0.45900000000000002</v>
      </c>
      <c r="K82" s="183"/>
      <c r="L82" s="183"/>
      <c r="M82" s="183"/>
      <c r="N82" s="183"/>
      <c r="O82" s="183"/>
      <c r="P82" s="187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spans="1:26" s="5" customFormat="1" ht="13.5" customHeight="1" x14ac:dyDescent="0.25">
      <c r="A83" s="68"/>
      <c r="B83" s="197"/>
      <c r="C83" s="183"/>
      <c r="D83" s="183"/>
      <c r="E83" s="183"/>
      <c r="F83" s="73" t="s">
        <v>63</v>
      </c>
      <c r="G83" s="74">
        <f>+E77*0.6</f>
        <v>0.18179999999999999</v>
      </c>
      <c r="H83" s="75"/>
      <c r="I83" s="76"/>
      <c r="J83" s="77">
        <v>0.47299999999999998</v>
      </c>
      <c r="K83" s="183"/>
      <c r="L83" s="183"/>
      <c r="M83" s="183"/>
      <c r="N83" s="183"/>
      <c r="O83" s="183"/>
      <c r="P83" s="187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spans="1:26" s="5" customFormat="1" ht="13.5" customHeight="1" x14ac:dyDescent="0.25">
      <c r="A84" s="68"/>
      <c r="B84" s="197"/>
      <c r="C84" s="183"/>
      <c r="D84" s="183"/>
      <c r="E84" s="183"/>
      <c r="F84" s="73" t="s">
        <v>64</v>
      </c>
      <c r="G84" s="74">
        <f>+E77*0.7</f>
        <v>0.21209999999999998</v>
      </c>
      <c r="H84" s="75"/>
      <c r="I84" s="76"/>
      <c r="J84" s="77">
        <v>0.48599999999999999</v>
      </c>
      <c r="K84" s="183"/>
      <c r="L84" s="183"/>
      <c r="M84" s="183"/>
      <c r="N84" s="183"/>
      <c r="O84" s="183"/>
      <c r="P84" s="187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spans="1:26" s="5" customFormat="1" ht="13.5" customHeight="1" x14ac:dyDescent="0.25">
      <c r="A85" s="68"/>
      <c r="B85" s="197"/>
      <c r="C85" s="183"/>
      <c r="D85" s="183"/>
      <c r="E85" s="183"/>
      <c r="F85" s="73" t="s">
        <v>65</v>
      </c>
      <c r="G85" s="74">
        <f>+E77*0.8</f>
        <v>0.2424</v>
      </c>
      <c r="H85" s="75"/>
      <c r="I85" s="76"/>
      <c r="J85" s="77">
        <v>0.48299999999999998</v>
      </c>
      <c r="K85" s="183"/>
      <c r="L85" s="183"/>
      <c r="M85" s="183"/>
      <c r="N85" s="183"/>
      <c r="O85" s="183"/>
      <c r="P85" s="187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spans="1:26" s="5" customFormat="1" ht="13.5" customHeight="1" x14ac:dyDescent="0.25">
      <c r="A86" s="68"/>
      <c r="B86" s="197"/>
      <c r="C86" s="183"/>
      <c r="D86" s="183"/>
      <c r="E86" s="183"/>
      <c r="F86" s="73" t="s">
        <v>66</v>
      </c>
      <c r="G86" s="74">
        <f>+E77*0.9</f>
        <v>0.2727</v>
      </c>
      <c r="H86" s="75"/>
      <c r="I86" s="76"/>
      <c r="J86" s="77">
        <v>0.47399999999999998</v>
      </c>
      <c r="K86" s="183"/>
      <c r="L86" s="183"/>
      <c r="M86" s="183"/>
      <c r="N86" s="183"/>
      <c r="O86" s="183"/>
      <c r="P86" s="187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spans="1:26" s="5" customFormat="1" ht="15.75" thickBot="1" x14ac:dyDescent="0.3">
      <c r="A87" s="68"/>
      <c r="B87" s="198"/>
      <c r="C87" s="184"/>
      <c r="D87" s="184"/>
      <c r="E87" s="184"/>
      <c r="F87" s="78" t="s">
        <v>67</v>
      </c>
      <c r="G87" s="78">
        <f>+E77</f>
        <v>0.30299999999999999</v>
      </c>
      <c r="H87" s="79"/>
      <c r="I87" s="80"/>
      <c r="J87" s="81">
        <v>0.47399999999999998</v>
      </c>
      <c r="K87" s="184"/>
      <c r="L87" s="184"/>
      <c r="M87" s="184"/>
      <c r="N87" s="184"/>
      <c r="O87" s="183"/>
      <c r="P87" s="187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spans="1:26" s="65" customFormat="1" ht="12.75" x14ac:dyDescent="0.2">
      <c r="A88" s="101"/>
      <c r="B88" s="329"/>
      <c r="C88" s="330"/>
      <c r="D88" s="330"/>
      <c r="E88" s="330"/>
      <c r="F88" s="330"/>
      <c r="G88" s="330"/>
      <c r="H88" s="330"/>
      <c r="I88" s="330"/>
      <c r="J88" s="330"/>
      <c r="K88" s="102">
        <f>ROUND(+M88/L88,3)</f>
        <v>0.33800000000000002</v>
      </c>
      <c r="L88" s="103">
        <f>SUM(L19:L87)</f>
        <v>0.34600000000000003</v>
      </c>
      <c r="M88" s="104">
        <f>SUM(M19:M87)</f>
        <v>0.11709999999999998</v>
      </c>
      <c r="N88" s="105">
        <f>ROUND(SUM(N19:N87),0)</f>
        <v>100</v>
      </c>
      <c r="O88" s="333" t="s">
        <v>69</v>
      </c>
      <c r="P88" s="335"/>
    </row>
    <row r="89" spans="1:26" s="65" customFormat="1" ht="15" customHeight="1" thickBot="1" x14ac:dyDescent="0.25">
      <c r="A89" s="101"/>
      <c r="B89" s="331"/>
      <c r="C89" s="332"/>
      <c r="D89" s="332"/>
      <c r="E89" s="332"/>
      <c r="F89" s="332"/>
      <c r="G89" s="332"/>
      <c r="H89" s="332"/>
      <c r="I89" s="332"/>
      <c r="J89" s="332"/>
      <c r="K89" s="106" t="s">
        <v>70</v>
      </c>
      <c r="L89" s="106" t="s">
        <v>102</v>
      </c>
      <c r="M89" s="106" t="s">
        <v>103</v>
      </c>
      <c r="N89" s="106" t="s">
        <v>71</v>
      </c>
      <c r="O89" s="334"/>
      <c r="P89" s="336"/>
    </row>
    <row r="90" spans="1:26" ht="15" customHeight="1" thickBot="1" x14ac:dyDescent="0.3">
      <c r="A90" s="86"/>
      <c r="B90" s="176" t="s">
        <v>72</v>
      </c>
      <c r="C90" s="177"/>
      <c r="D90" s="177"/>
      <c r="E90" s="177"/>
      <c r="F90" s="178"/>
      <c r="G90" s="176" t="s">
        <v>73</v>
      </c>
      <c r="H90" s="177"/>
      <c r="I90" s="177"/>
      <c r="J90" s="177"/>
      <c r="K90" s="178"/>
      <c r="L90" s="179" t="s">
        <v>105</v>
      </c>
      <c r="M90" s="180"/>
      <c r="N90" s="180"/>
      <c r="O90" s="180"/>
      <c r="P90" s="181"/>
    </row>
    <row r="91" spans="1:26" ht="15" customHeight="1" x14ac:dyDescent="0.25">
      <c r="A91" s="86"/>
      <c r="B91" s="136"/>
      <c r="C91" s="137"/>
      <c r="D91" s="137"/>
      <c r="E91" s="137"/>
      <c r="F91" s="138"/>
      <c r="G91" s="136"/>
      <c r="H91" s="137"/>
      <c r="I91" s="137"/>
      <c r="J91" s="137"/>
      <c r="K91" s="138"/>
      <c r="L91" s="145" t="s">
        <v>74</v>
      </c>
      <c r="M91" s="146"/>
      <c r="N91" s="147"/>
      <c r="O91" s="148">
        <f>+AVERAGE(E18:E68)</f>
        <v>0.17439999999999997</v>
      </c>
      <c r="P91" s="149"/>
    </row>
    <row r="92" spans="1:26" ht="15" customHeight="1" thickBot="1" x14ac:dyDescent="0.3">
      <c r="A92" s="86"/>
      <c r="B92" s="139"/>
      <c r="C92" s="140"/>
      <c r="D92" s="140"/>
      <c r="E92" s="140"/>
      <c r="F92" s="141"/>
      <c r="G92" s="139"/>
      <c r="H92" s="140"/>
      <c r="I92" s="140"/>
      <c r="J92" s="140"/>
      <c r="K92" s="141"/>
      <c r="L92" s="150" t="s">
        <v>75</v>
      </c>
      <c r="M92" s="151"/>
      <c r="N92" s="152"/>
      <c r="O92" s="153">
        <f>+MAX(E18:E68)</f>
        <v>0.30299999999999999</v>
      </c>
      <c r="P92" s="154"/>
    </row>
    <row r="93" spans="1:26" ht="18.600000000000001" customHeight="1" x14ac:dyDescent="0.25">
      <c r="A93" s="87"/>
      <c r="B93" s="139"/>
      <c r="C93" s="140"/>
      <c r="D93" s="140"/>
      <c r="E93" s="140"/>
      <c r="F93" s="141"/>
      <c r="G93" s="139"/>
      <c r="H93" s="140"/>
      <c r="I93" s="140"/>
      <c r="J93" s="140"/>
      <c r="K93" s="141"/>
      <c r="L93" s="319"/>
      <c r="M93" s="320"/>
      <c r="N93" s="320"/>
      <c r="O93" s="320"/>
      <c r="P93" s="321"/>
    </row>
    <row r="94" spans="1:26" ht="75" customHeight="1" x14ac:dyDescent="0.25">
      <c r="A94" s="92"/>
      <c r="B94" s="139"/>
      <c r="C94" s="140"/>
      <c r="D94" s="140"/>
      <c r="E94" s="140"/>
      <c r="F94" s="141"/>
      <c r="G94" s="139"/>
      <c r="H94" s="140"/>
      <c r="I94" s="140"/>
      <c r="J94" s="140"/>
      <c r="K94" s="141"/>
      <c r="L94" s="319"/>
      <c r="M94" s="320"/>
      <c r="N94" s="320"/>
      <c r="O94" s="320"/>
      <c r="P94" s="321"/>
    </row>
    <row r="95" spans="1:26" ht="15" customHeight="1" thickBot="1" x14ac:dyDescent="0.3">
      <c r="A95" s="86"/>
      <c r="B95" s="139"/>
      <c r="C95" s="140"/>
      <c r="D95" s="140"/>
      <c r="E95" s="140"/>
      <c r="F95" s="141"/>
      <c r="G95" s="139"/>
      <c r="H95" s="140"/>
      <c r="I95" s="140"/>
      <c r="J95" s="140"/>
      <c r="K95" s="141"/>
      <c r="L95" s="322"/>
      <c r="M95" s="323"/>
      <c r="N95" s="323"/>
      <c r="O95" s="323"/>
      <c r="P95" s="324"/>
    </row>
    <row r="96" spans="1:26" ht="15.75" customHeight="1" thickBot="1" x14ac:dyDescent="0.3">
      <c r="A96" s="86"/>
      <c r="B96" s="139"/>
      <c r="C96" s="140"/>
      <c r="D96" s="140"/>
      <c r="E96" s="140"/>
      <c r="F96" s="141"/>
      <c r="G96" s="139"/>
      <c r="H96" s="140"/>
      <c r="I96" s="140"/>
      <c r="J96" s="140"/>
      <c r="K96" s="141"/>
      <c r="L96" s="325" t="s">
        <v>76</v>
      </c>
      <c r="M96" s="326"/>
      <c r="N96" s="326"/>
      <c r="O96" s="326"/>
      <c r="P96" s="88">
        <v>13.14</v>
      </c>
    </row>
    <row r="97" spans="1:16" ht="30.75" customHeight="1" thickBot="1" x14ac:dyDescent="0.3">
      <c r="A97" s="86"/>
      <c r="B97" s="142"/>
      <c r="C97" s="143"/>
      <c r="D97" s="143"/>
      <c r="E97" s="143"/>
      <c r="F97" s="144"/>
      <c r="G97" s="142"/>
      <c r="H97" s="143"/>
      <c r="I97" s="143"/>
      <c r="J97" s="143"/>
      <c r="K97" s="144"/>
      <c r="L97" s="327" t="s">
        <v>104</v>
      </c>
      <c r="M97" s="328"/>
      <c r="N97" s="328"/>
      <c r="O97" s="328"/>
      <c r="P97" s="107" t="s">
        <v>114</v>
      </c>
    </row>
    <row r="98" spans="1:16" ht="23.45" customHeight="1" thickBot="1" x14ac:dyDescent="0.3">
      <c r="A98" s="89"/>
      <c r="B98" s="315"/>
      <c r="C98" s="315"/>
      <c r="D98" s="315"/>
      <c r="E98" s="315"/>
      <c r="F98" s="315"/>
      <c r="G98" s="315"/>
      <c r="H98" s="315"/>
      <c r="I98" s="315"/>
      <c r="J98" s="315"/>
      <c r="K98" s="315"/>
      <c r="L98" s="315"/>
      <c r="M98" s="315"/>
      <c r="N98" s="315"/>
      <c r="O98" s="315"/>
      <c r="P98" s="315"/>
    </row>
    <row r="99" spans="1:16" ht="15.75" thickBot="1" x14ac:dyDescent="0.3">
      <c r="A99" s="125" t="s">
        <v>77</v>
      </c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7"/>
    </row>
    <row r="100" spans="1:16" ht="180" customHeight="1" thickBot="1" x14ac:dyDescent="0.3">
      <c r="A100" s="83"/>
      <c r="B100" s="128"/>
      <c r="C100" s="129"/>
      <c r="D100" s="129"/>
      <c r="E100" s="129"/>
      <c r="F100" s="129"/>
      <c r="G100" s="129"/>
      <c r="H100" s="130"/>
      <c r="I100" s="128"/>
      <c r="J100" s="129"/>
      <c r="K100" s="129"/>
      <c r="L100" s="129"/>
      <c r="M100" s="129"/>
      <c r="N100" s="129"/>
      <c r="O100" s="129"/>
      <c r="P100" s="131"/>
    </row>
    <row r="101" spans="1:16" s="91" customFormat="1" ht="21.75" customHeight="1" thickBot="1" x14ac:dyDescent="0.3">
      <c r="A101" s="99"/>
      <c r="B101" s="316" t="s">
        <v>115</v>
      </c>
      <c r="C101" s="317"/>
      <c r="D101" s="317"/>
      <c r="E101" s="317"/>
      <c r="F101" s="317"/>
      <c r="G101" s="317"/>
      <c r="H101" s="318"/>
      <c r="I101" s="132" t="s">
        <v>106</v>
      </c>
      <c r="J101" s="133"/>
      <c r="K101" s="133"/>
      <c r="L101" s="133"/>
      <c r="M101" s="133"/>
      <c r="N101" s="133"/>
      <c r="O101" s="133"/>
      <c r="P101" s="135"/>
    </row>
    <row r="102" spans="1:16" s="91" customFormat="1" ht="16.899999999999999" customHeight="1" thickBot="1" x14ac:dyDescent="0.3">
      <c r="A102" s="90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20"/>
    </row>
    <row r="103" spans="1:16" s="65" customFormat="1" ht="15.75" customHeight="1" thickBot="1" x14ac:dyDescent="0.25">
      <c r="A103" s="121" t="s">
        <v>78</v>
      </c>
      <c r="B103" s="122"/>
      <c r="C103" s="122"/>
      <c r="D103" s="122"/>
      <c r="E103" s="122"/>
      <c r="F103" s="122"/>
      <c r="G103" s="122"/>
      <c r="H103" s="122"/>
      <c r="I103" s="122"/>
      <c r="J103" s="122" t="s">
        <v>79</v>
      </c>
      <c r="K103" s="122"/>
      <c r="L103" s="122"/>
      <c r="M103" s="122"/>
      <c r="N103" s="122"/>
      <c r="O103" s="122"/>
      <c r="P103" s="123"/>
    </row>
  </sheetData>
  <mergeCells count="203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64:M68"/>
    <mergeCell ref="N64:N68"/>
    <mergeCell ref="O64:O68"/>
    <mergeCell ref="P64:P68"/>
    <mergeCell ref="B69:B74"/>
    <mergeCell ref="C69:P74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C75:H75"/>
    <mergeCell ref="I75:I76"/>
    <mergeCell ref="K75:P75"/>
    <mergeCell ref="C76:H76"/>
    <mergeCell ref="K76:P76"/>
    <mergeCell ref="B77:B87"/>
    <mergeCell ref="C77:C81"/>
    <mergeCell ref="D77:D81"/>
    <mergeCell ref="E77:E87"/>
    <mergeCell ref="K77:K87"/>
    <mergeCell ref="B88:J89"/>
    <mergeCell ref="O88:O89"/>
    <mergeCell ref="P88:P89"/>
    <mergeCell ref="B90:F90"/>
    <mergeCell ref="G90:K90"/>
    <mergeCell ref="L90:P90"/>
    <mergeCell ref="L77:L87"/>
    <mergeCell ref="M77:M87"/>
    <mergeCell ref="N77:N87"/>
    <mergeCell ref="O77:O87"/>
    <mergeCell ref="P77:P87"/>
    <mergeCell ref="C82:C87"/>
    <mergeCell ref="D82:D87"/>
    <mergeCell ref="B91:F97"/>
    <mergeCell ref="G91:K97"/>
    <mergeCell ref="L91:N91"/>
    <mergeCell ref="O91:P91"/>
    <mergeCell ref="L92:N92"/>
    <mergeCell ref="O92:P92"/>
    <mergeCell ref="L93:P95"/>
    <mergeCell ref="L96:O96"/>
    <mergeCell ref="L97:O97"/>
    <mergeCell ref="B102:P102"/>
    <mergeCell ref="A103:C103"/>
    <mergeCell ref="D103:I103"/>
    <mergeCell ref="J103:K103"/>
    <mergeCell ref="L103:P103"/>
    <mergeCell ref="B98:P98"/>
    <mergeCell ref="A99:P99"/>
    <mergeCell ref="B100:H100"/>
    <mergeCell ref="I100:P100"/>
    <mergeCell ref="B101:H101"/>
    <mergeCell ref="I101:P101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Z103"/>
  <sheetViews>
    <sheetView view="pageBreakPreview" zoomScale="70" zoomScaleSheetLayoutView="7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"/>
    </row>
    <row r="2" spans="1:26" s="4" customFormat="1" ht="30" customHeight="1" x14ac:dyDescent="0.25">
      <c r="A2" s="100"/>
      <c r="B2" s="354"/>
      <c r="C2" s="355"/>
      <c r="D2" s="356"/>
      <c r="E2" s="337" t="s">
        <v>120</v>
      </c>
      <c r="F2" s="338"/>
      <c r="G2" s="338"/>
      <c r="H2" s="338"/>
      <c r="I2" s="338"/>
      <c r="J2" s="338"/>
      <c r="K2" s="338"/>
      <c r="L2" s="338"/>
      <c r="M2" s="338"/>
      <c r="N2" s="338"/>
      <c r="O2" s="357"/>
      <c r="P2" s="341"/>
    </row>
    <row r="3" spans="1:26" s="4" customFormat="1" ht="20.45" customHeight="1" thickBot="1" x14ac:dyDescent="0.3">
      <c r="A3" s="100"/>
      <c r="B3" s="358"/>
      <c r="C3" s="359"/>
      <c r="D3" s="360"/>
      <c r="E3" s="339"/>
      <c r="F3" s="340"/>
      <c r="G3" s="340"/>
      <c r="H3" s="340"/>
      <c r="I3" s="340"/>
      <c r="J3" s="340"/>
      <c r="K3" s="340"/>
      <c r="L3" s="340"/>
      <c r="M3" s="340"/>
      <c r="N3" s="340"/>
      <c r="O3" s="361"/>
      <c r="P3" s="342"/>
    </row>
    <row r="4" spans="1:26" s="5" customFormat="1" ht="4.5" customHeight="1" thickBot="1" x14ac:dyDescent="0.3">
      <c r="A4" s="3"/>
      <c r="B4" s="309"/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s="12" customFormat="1" ht="28.5" customHeight="1" thickBot="1" x14ac:dyDescent="0.3">
      <c r="A5" s="6"/>
      <c r="B5" s="7" t="s">
        <v>0</v>
      </c>
      <c r="C5" s="310">
        <v>43110</v>
      </c>
      <c r="D5" s="311"/>
      <c r="E5" s="8" t="s">
        <v>1</v>
      </c>
      <c r="F5" s="9">
        <v>3</v>
      </c>
      <c r="G5" s="10" t="s">
        <v>2</v>
      </c>
      <c r="H5" s="312" t="s">
        <v>122</v>
      </c>
      <c r="I5" s="313"/>
      <c r="J5" s="313"/>
      <c r="K5" s="313"/>
      <c r="L5" s="313"/>
      <c r="M5" s="313"/>
      <c r="N5" s="313"/>
      <c r="O5" s="313"/>
      <c r="P5" s="314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s="17" customFormat="1" ht="23.25" customHeight="1" thickBot="1" x14ac:dyDescent="0.3">
      <c r="A6" s="13"/>
      <c r="B6" s="293" t="s">
        <v>3</v>
      </c>
      <c r="C6" s="294"/>
      <c r="D6" s="295" t="s">
        <v>107</v>
      </c>
      <c r="E6" s="296"/>
      <c r="F6" s="296"/>
      <c r="G6" s="296"/>
      <c r="H6" s="296"/>
      <c r="I6" s="297"/>
      <c r="J6" s="14" t="s">
        <v>4</v>
      </c>
      <c r="K6" s="298" t="s">
        <v>109</v>
      </c>
      <c r="L6" s="297"/>
      <c r="M6" s="298" t="s">
        <v>108</v>
      </c>
      <c r="N6" s="299"/>
      <c r="O6" s="15" t="s">
        <v>5</v>
      </c>
      <c r="P6" s="16">
        <v>1832</v>
      </c>
    </row>
    <row r="7" spans="1:26" s="12" customFormat="1" ht="30.75" customHeight="1" x14ac:dyDescent="0.25">
      <c r="B7" s="300" t="s">
        <v>6</v>
      </c>
      <c r="C7" s="301" t="s">
        <v>7</v>
      </c>
      <c r="D7" s="271"/>
      <c r="E7" s="18" t="s">
        <v>12</v>
      </c>
      <c r="F7" s="302" t="s">
        <v>8</v>
      </c>
      <c r="G7" s="303"/>
      <c r="H7" s="303"/>
      <c r="I7" s="303"/>
      <c r="J7" s="304" t="s">
        <v>9</v>
      </c>
      <c r="K7" s="305"/>
      <c r="L7" s="305"/>
      <c r="M7" s="306"/>
      <c r="N7" s="307" t="s">
        <v>82</v>
      </c>
      <c r="O7" s="308"/>
      <c r="P7" s="19" t="s">
        <v>10</v>
      </c>
    </row>
    <row r="8" spans="1:26" s="12" customFormat="1" ht="16.5" thickBot="1" x14ac:dyDescent="0.3">
      <c r="B8" s="245"/>
      <c r="C8" s="262" t="s">
        <v>11</v>
      </c>
      <c r="D8" s="261"/>
      <c r="E8" s="20"/>
      <c r="F8" s="272"/>
      <c r="G8" s="273"/>
      <c r="H8" s="273"/>
      <c r="I8" s="273"/>
      <c r="J8" s="274"/>
      <c r="K8" s="275"/>
      <c r="L8" s="275"/>
      <c r="M8" s="276"/>
      <c r="N8" s="277">
        <v>20</v>
      </c>
      <c r="O8" s="278"/>
      <c r="P8" s="21" t="s">
        <v>116</v>
      </c>
    </row>
    <row r="9" spans="1:26" s="12" customFormat="1" ht="14.25" customHeight="1" x14ac:dyDescent="0.25">
      <c r="B9" s="279" t="s">
        <v>14</v>
      </c>
      <c r="C9" s="282" t="s">
        <v>15</v>
      </c>
      <c r="D9" s="283" t="s">
        <v>16</v>
      </c>
      <c r="E9" s="268"/>
      <c r="F9" s="22"/>
      <c r="G9" s="284" t="s">
        <v>17</v>
      </c>
      <c r="H9" s="285" t="s">
        <v>18</v>
      </c>
      <c r="I9" s="271"/>
      <c r="J9" s="23"/>
      <c r="K9" s="282" t="s">
        <v>19</v>
      </c>
      <c r="L9" s="286" t="s">
        <v>83</v>
      </c>
      <c r="M9" s="287"/>
      <c r="N9" s="288"/>
      <c r="O9" s="288"/>
      <c r="P9" s="289"/>
    </row>
    <row r="10" spans="1:26" s="12" customFormat="1" ht="16.5" thickBot="1" x14ac:dyDescent="0.3">
      <c r="B10" s="280"/>
      <c r="C10" s="225"/>
      <c r="D10" s="266" t="s">
        <v>21</v>
      </c>
      <c r="E10" s="261"/>
      <c r="F10" s="24" t="s">
        <v>12</v>
      </c>
      <c r="G10" s="225"/>
      <c r="H10" s="266" t="s">
        <v>22</v>
      </c>
      <c r="I10" s="261"/>
      <c r="J10" s="25" t="s">
        <v>12</v>
      </c>
      <c r="K10" s="225"/>
      <c r="L10" s="290"/>
      <c r="M10" s="291"/>
      <c r="N10" s="291"/>
      <c r="O10" s="291"/>
      <c r="P10" s="292"/>
    </row>
    <row r="11" spans="1:26" s="12" customFormat="1" ht="18.75" customHeight="1" x14ac:dyDescent="0.25">
      <c r="A11" s="6"/>
      <c r="B11" s="280"/>
      <c r="C11" s="267" t="s">
        <v>23</v>
      </c>
      <c r="D11" s="268"/>
      <c r="E11" s="26">
        <v>0.5395833333333333</v>
      </c>
      <c r="F11" s="269" t="s">
        <v>24</v>
      </c>
      <c r="G11" s="268"/>
      <c r="H11" s="27">
        <v>1.24</v>
      </c>
      <c r="I11" s="270" t="s">
        <v>25</v>
      </c>
      <c r="J11" s="271"/>
      <c r="K11" s="27">
        <v>17</v>
      </c>
      <c r="L11" s="267" t="s">
        <v>26</v>
      </c>
      <c r="M11" s="268"/>
      <c r="N11" s="28" t="s">
        <v>110</v>
      </c>
      <c r="O11" s="258" t="s">
        <v>84</v>
      </c>
      <c r="P11" s="259"/>
    </row>
    <row r="12" spans="1:26" s="12" customFormat="1" ht="18.75" customHeight="1" thickBot="1" x14ac:dyDescent="0.3">
      <c r="A12" s="6"/>
      <c r="B12" s="281"/>
      <c r="C12" s="260" t="s">
        <v>27</v>
      </c>
      <c r="D12" s="261"/>
      <c r="E12" s="26">
        <v>0.57500000000000007</v>
      </c>
      <c r="F12" s="262" t="s">
        <v>28</v>
      </c>
      <c r="G12" s="261"/>
      <c r="H12" s="27">
        <v>1.24</v>
      </c>
      <c r="I12" s="263" t="s">
        <v>29</v>
      </c>
      <c r="J12" s="261"/>
      <c r="K12" s="26">
        <v>0.52986111111111112</v>
      </c>
      <c r="L12" s="260" t="s">
        <v>30</v>
      </c>
      <c r="M12" s="261"/>
      <c r="N12" s="29">
        <v>0.2</v>
      </c>
      <c r="O12" s="264">
        <v>0.3</v>
      </c>
      <c r="P12" s="265"/>
    </row>
    <row r="13" spans="1:26" s="12" customFormat="1" ht="21" customHeight="1" x14ac:dyDescent="0.25">
      <c r="A13" s="6"/>
      <c r="B13" s="243" t="s">
        <v>31</v>
      </c>
      <c r="C13" s="246" t="s">
        <v>85</v>
      </c>
      <c r="D13" s="247"/>
      <c r="E13" s="247"/>
      <c r="F13" s="248" t="s">
        <v>86</v>
      </c>
      <c r="G13" s="247"/>
      <c r="H13" s="247"/>
      <c r="I13" s="247"/>
      <c r="J13" s="248" t="s">
        <v>87</v>
      </c>
      <c r="K13" s="247"/>
      <c r="L13" s="247"/>
      <c r="M13" s="247"/>
      <c r="N13" s="249" t="s">
        <v>88</v>
      </c>
      <c r="O13" s="247"/>
      <c r="P13" s="250"/>
      <c r="Q13" s="30"/>
      <c r="R13" s="11"/>
      <c r="S13" s="11"/>
      <c r="T13" s="11"/>
      <c r="U13" s="11"/>
      <c r="V13" s="11"/>
      <c r="W13" s="11"/>
      <c r="X13" s="11"/>
      <c r="Y13" s="11"/>
      <c r="Z13" s="11"/>
    </row>
    <row r="14" spans="1:26" s="12" customFormat="1" ht="21" customHeight="1" x14ac:dyDescent="0.25">
      <c r="A14" s="6"/>
      <c r="B14" s="244"/>
      <c r="C14" s="251" t="s">
        <v>89</v>
      </c>
      <c r="D14" s="252"/>
      <c r="E14" s="252"/>
      <c r="F14" s="253" t="s">
        <v>90</v>
      </c>
      <c r="G14" s="252"/>
      <c r="H14" s="252"/>
      <c r="I14" s="252"/>
      <c r="J14" s="254" t="s">
        <v>91</v>
      </c>
      <c r="K14" s="252"/>
      <c r="L14" s="252"/>
      <c r="M14" s="252"/>
      <c r="N14" s="255"/>
      <c r="O14" s="240"/>
      <c r="P14" s="256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s="12" customFormat="1" ht="21" customHeight="1" thickBot="1" x14ac:dyDescent="0.3">
      <c r="A15" s="6"/>
      <c r="B15" s="245"/>
      <c r="C15" s="257" t="s">
        <v>92</v>
      </c>
      <c r="D15" s="227"/>
      <c r="E15" s="227"/>
      <c r="F15" s="227" t="s">
        <v>93</v>
      </c>
      <c r="G15" s="228"/>
      <c r="H15" s="228"/>
      <c r="I15" s="228"/>
      <c r="J15" s="227" t="s">
        <v>32</v>
      </c>
      <c r="K15" s="228"/>
      <c r="L15" s="228"/>
      <c r="M15" s="228"/>
      <c r="N15" s="229"/>
      <c r="O15" s="230"/>
      <c r="P15" s="23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s="12" customFormat="1" ht="16.5" customHeight="1" x14ac:dyDescent="0.25">
      <c r="A16" s="6"/>
      <c r="B16" s="232" t="s">
        <v>33</v>
      </c>
      <c r="C16" s="234" t="s">
        <v>34</v>
      </c>
      <c r="D16" s="234" t="s">
        <v>94</v>
      </c>
      <c r="E16" s="236" t="s">
        <v>35</v>
      </c>
      <c r="F16" s="237" t="s">
        <v>95</v>
      </c>
      <c r="G16" s="238"/>
      <c r="H16" s="234" t="s">
        <v>36</v>
      </c>
      <c r="I16" s="241" t="s">
        <v>37</v>
      </c>
      <c r="J16" s="31" t="s">
        <v>96</v>
      </c>
      <c r="K16" s="32"/>
      <c r="L16" s="33" t="s">
        <v>97</v>
      </c>
      <c r="M16" s="33" t="s">
        <v>98</v>
      </c>
      <c r="N16" s="33" t="s">
        <v>98</v>
      </c>
      <c r="O16" s="33" t="s">
        <v>99</v>
      </c>
      <c r="P16" s="34" t="s">
        <v>38</v>
      </c>
    </row>
    <row r="17" spans="1:26" s="12" customFormat="1" ht="13.5" customHeight="1" thickBot="1" x14ac:dyDescent="0.3">
      <c r="A17" s="35"/>
      <c r="B17" s="233"/>
      <c r="C17" s="235"/>
      <c r="D17" s="235"/>
      <c r="E17" s="235"/>
      <c r="F17" s="239"/>
      <c r="G17" s="240"/>
      <c r="H17" s="235"/>
      <c r="I17" s="242"/>
      <c r="J17" s="36" t="s">
        <v>39</v>
      </c>
      <c r="K17" s="37" t="s">
        <v>40</v>
      </c>
      <c r="L17" s="37" t="s">
        <v>100</v>
      </c>
      <c r="M17" s="37" t="s">
        <v>101</v>
      </c>
      <c r="N17" s="37" t="s">
        <v>41</v>
      </c>
      <c r="O17" s="37" t="s">
        <v>42</v>
      </c>
      <c r="P17" s="38" t="s">
        <v>43</v>
      </c>
    </row>
    <row r="18" spans="1:26" s="47" customFormat="1" ht="13.5" customHeight="1" thickBot="1" x14ac:dyDescent="0.3">
      <c r="A18" s="39"/>
      <c r="B18" s="40"/>
      <c r="C18" s="41">
        <f>+O12</f>
        <v>0.3</v>
      </c>
      <c r="D18" s="41">
        <v>0.3</v>
      </c>
      <c r="E18" s="42"/>
      <c r="F18" s="43"/>
      <c r="G18" s="48"/>
      <c r="H18" s="44"/>
      <c r="I18" s="45"/>
      <c r="J18" s="49"/>
      <c r="K18" s="42"/>
      <c r="L18" s="42"/>
      <c r="M18" s="42"/>
      <c r="N18" s="42"/>
      <c r="O18" s="42"/>
      <c r="P18" s="46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s="47" customFormat="1" ht="13.5" customHeight="1" x14ac:dyDescent="0.25">
      <c r="A19" s="39"/>
      <c r="B19" s="223">
        <v>1</v>
      </c>
      <c r="C19" s="226">
        <f>+C18+$N$12</f>
        <v>0.5</v>
      </c>
      <c r="D19" s="203">
        <v>0.3</v>
      </c>
      <c r="E19" s="203">
        <v>0.35</v>
      </c>
      <c r="F19" s="50" t="s">
        <v>44</v>
      </c>
      <c r="G19" s="51">
        <v>0</v>
      </c>
      <c r="H19" s="52"/>
      <c r="I19" s="53"/>
      <c r="J19" s="54"/>
      <c r="K19" s="203">
        <f>+IF(E19&lt;=0.12,(J21),(IF(E19&lt;0.16,((J20+2*J21+J22)/4),IF(E19&gt;=0.16,((J19+3*J20+2*J21+3*J22+J23)/10)))))</f>
        <v>0.38575718245116003</v>
      </c>
      <c r="L19" s="203">
        <f>ROUND(+(D18+D19)/2*(C19-C18),3)</f>
        <v>0.06</v>
      </c>
      <c r="M19" s="203">
        <f>ROUND(+K19*L19,4)</f>
        <v>2.3099999999999999E-2</v>
      </c>
      <c r="N19" s="206">
        <f>ROUND(+M19/$M$88*100,2)</f>
        <v>21.67</v>
      </c>
      <c r="O19" s="207"/>
      <c r="P19" s="208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s="47" customFormat="1" ht="13.5" customHeight="1" x14ac:dyDescent="0.25">
      <c r="A20" s="39"/>
      <c r="B20" s="224"/>
      <c r="C20" s="204"/>
      <c r="D20" s="204"/>
      <c r="E20" s="204"/>
      <c r="F20" s="55" t="s">
        <v>45</v>
      </c>
      <c r="G20" s="56">
        <f>IF(E19&lt;0.125,"NA",IF(0.125&lt;=E19,(0.2*E19)))</f>
        <v>6.9999999999999993E-2</v>
      </c>
      <c r="H20" s="57"/>
      <c r="I20" s="58"/>
      <c r="J20" s="59"/>
      <c r="K20" s="204"/>
      <c r="L20" s="204"/>
      <c r="M20" s="204"/>
      <c r="N20" s="204"/>
      <c r="O20" s="204"/>
      <c r="P20" s="20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s="47" customFormat="1" ht="13.5" customHeight="1" x14ac:dyDescent="0.25">
      <c r="A21" s="39"/>
      <c r="B21" s="224"/>
      <c r="C21" s="204"/>
      <c r="D21" s="204"/>
      <c r="E21" s="204"/>
      <c r="F21" s="55" t="s">
        <v>46</v>
      </c>
      <c r="G21" s="56">
        <f>+E19*0.4</f>
        <v>0.13999999999999999</v>
      </c>
      <c r="H21" s="57"/>
      <c r="I21" s="58"/>
      <c r="J21" s="59">
        <f>1.50348239031975*0.8</f>
        <v>1.2027859122558002</v>
      </c>
      <c r="K21" s="204"/>
      <c r="L21" s="204"/>
      <c r="M21" s="204"/>
      <c r="N21" s="204"/>
      <c r="O21" s="204"/>
      <c r="P21" s="20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s="47" customFormat="1" ht="13.5" customHeight="1" x14ac:dyDescent="0.25">
      <c r="A22" s="39"/>
      <c r="B22" s="224"/>
      <c r="C22" s="204"/>
      <c r="D22" s="204"/>
      <c r="E22" s="204"/>
      <c r="F22" s="55" t="s">
        <v>47</v>
      </c>
      <c r="G22" s="56">
        <f>IF(E19&lt;0.125,"NA",IF(0.125&lt;=E19,(0.8*E19)))</f>
        <v>0.27999999999999997</v>
      </c>
      <c r="H22" s="57"/>
      <c r="I22" s="58"/>
      <c r="J22" s="59"/>
      <c r="K22" s="204"/>
      <c r="L22" s="204"/>
      <c r="M22" s="204"/>
      <c r="N22" s="204"/>
      <c r="O22" s="204"/>
      <c r="P22" s="20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s="47" customFormat="1" ht="13.5" customHeight="1" thickBot="1" x14ac:dyDescent="0.3">
      <c r="A23" s="39"/>
      <c r="B23" s="225"/>
      <c r="C23" s="205"/>
      <c r="D23" s="205"/>
      <c r="E23" s="205"/>
      <c r="F23" s="60" t="s">
        <v>48</v>
      </c>
      <c r="G23" s="61">
        <f>+E19</f>
        <v>0.35</v>
      </c>
      <c r="H23" s="62"/>
      <c r="I23" s="63"/>
      <c r="J23" s="64">
        <v>1.452</v>
      </c>
      <c r="K23" s="205"/>
      <c r="L23" s="205"/>
      <c r="M23" s="205"/>
      <c r="N23" s="205"/>
      <c r="O23" s="205"/>
      <c r="P23" s="210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s="47" customFormat="1" ht="13.5" customHeight="1" x14ac:dyDescent="0.25">
      <c r="A24" s="39"/>
      <c r="B24" s="223">
        <v>2</v>
      </c>
      <c r="C24" s="226">
        <f>+C19+$N$12</f>
        <v>0.7</v>
      </c>
      <c r="D24" s="203">
        <v>0.33</v>
      </c>
      <c r="E24" s="203">
        <v>0.34</v>
      </c>
      <c r="F24" s="50" t="s">
        <v>44</v>
      </c>
      <c r="G24" s="51">
        <v>0</v>
      </c>
      <c r="H24" s="52"/>
      <c r="I24" s="53"/>
      <c r="J24" s="54"/>
      <c r="K24" s="203">
        <f>+IF(E24&lt;=0.12,(J26),(IF(E24&lt;0.16,((J25+2*J26+J27)/4),IF(E24&gt;=0.16,((J24+3*J25+2*J26+3*J27+J28)/10)))))</f>
        <v>0.36111628472926405</v>
      </c>
      <c r="L24" s="203">
        <f>ROUND(+(D19+D24)/2*(C24-C19),3)</f>
        <v>6.3E-2</v>
      </c>
      <c r="M24" s="203">
        <f>ROUND(+K24*L24,4)</f>
        <v>2.2800000000000001E-2</v>
      </c>
      <c r="N24" s="206">
        <f>ROUND(+M24/$M$88*100,2)</f>
        <v>21.39</v>
      </c>
      <c r="O24" s="207"/>
      <c r="P24" s="208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s="47" customFormat="1" ht="13.5" customHeight="1" x14ac:dyDescent="0.25">
      <c r="A25" s="39"/>
      <c r="B25" s="224"/>
      <c r="C25" s="204"/>
      <c r="D25" s="204"/>
      <c r="E25" s="204"/>
      <c r="F25" s="55" t="s">
        <v>45</v>
      </c>
      <c r="G25" s="56">
        <f t="shared" ref="G25" si="0">IF(E24&lt;0.125,"NA",IF(0.125&lt;=E24,(0.2*E24)))</f>
        <v>6.8000000000000005E-2</v>
      </c>
      <c r="H25" s="57"/>
      <c r="I25" s="58"/>
      <c r="J25" s="59"/>
      <c r="K25" s="204"/>
      <c r="L25" s="204"/>
      <c r="M25" s="204"/>
      <c r="N25" s="204"/>
      <c r="O25" s="204"/>
      <c r="P25" s="20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s="47" customFormat="1" ht="13.5" customHeight="1" x14ac:dyDescent="0.25">
      <c r="A26" s="39"/>
      <c r="B26" s="224"/>
      <c r="C26" s="204"/>
      <c r="D26" s="204"/>
      <c r="E26" s="204"/>
      <c r="F26" s="55" t="s">
        <v>46</v>
      </c>
      <c r="G26" s="56">
        <f t="shared" ref="G26" si="1">+E24*0.4</f>
        <v>0.13600000000000001</v>
      </c>
      <c r="H26" s="57"/>
      <c r="I26" s="58"/>
      <c r="J26" s="59">
        <f>1.4344767795579*0.8</f>
        <v>1.1475814236463202</v>
      </c>
      <c r="K26" s="204"/>
      <c r="L26" s="204"/>
      <c r="M26" s="204"/>
      <c r="N26" s="204"/>
      <c r="O26" s="204"/>
      <c r="P26" s="20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s="47" customFormat="1" ht="13.5" customHeight="1" x14ac:dyDescent="0.25">
      <c r="A27" s="39"/>
      <c r="B27" s="224"/>
      <c r="C27" s="204"/>
      <c r="D27" s="204"/>
      <c r="E27" s="204"/>
      <c r="F27" s="55" t="s">
        <v>47</v>
      </c>
      <c r="G27" s="56">
        <f t="shared" ref="G27" si="2">IF(E24&lt;0.125,"NA",IF(0.125&lt;=E24,(0.8*E24)))</f>
        <v>0.27200000000000002</v>
      </c>
      <c r="H27" s="57"/>
      <c r="I27" s="58"/>
      <c r="J27" s="59"/>
      <c r="K27" s="204"/>
      <c r="L27" s="204"/>
      <c r="M27" s="204"/>
      <c r="N27" s="204"/>
      <c r="O27" s="204"/>
      <c r="P27" s="20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s="47" customFormat="1" ht="13.5" customHeight="1" thickBot="1" x14ac:dyDescent="0.3">
      <c r="A28" s="39"/>
      <c r="B28" s="225"/>
      <c r="C28" s="205"/>
      <c r="D28" s="205"/>
      <c r="E28" s="205"/>
      <c r="F28" s="60" t="s">
        <v>48</v>
      </c>
      <c r="G28" s="61">
        <f t="shared" ref="G28" si="3">+E24</f>
        <v>0.34</v>
      </c>
      <c r="H28" s="62"/>
      <c r="I28" s="63"/>
      <c r="J28" s="64">
        <v>1.3160000000000001</v>
      </c>
      <c r="K28" s="205"/>
      <c r="L28" s="205"/>
      <c r="M28" s="205"/>
      <c r="N28" s="205"/>
      <c r="O28" s="205"/>
      <c r="P28" s="210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s="47" customFormat="1" ht="13.5" customHeight="1" x14ac:dyDescent="0.25">
      <c r="A29" s="39"/>
      <c r="B29" s="223">
        <v>3</v>
      </c>
      <c r="C29" s="226">
        <f>+C24+$N$12</f>
        <v>0.89999999999999991</v>
      </c>
      <c r="D29" s="203">
        <v>0.31</v>
      </c>
      <c r="E29" s="203">
        <v>0.32</v>
      </c>
      <c r="F29" s="50" t="s">
        <v>44</v>
      </c>
      <c r="G29" s="51">
        <v>0</v>
      </c>
      <c r="H29" s="52"/>
      <c r="I29" s="53"/>
      <c r="J29" s="54"/>
      <c r="K29" s="203">
        <f t="shared" ref="K29" si="4">+IF(E29&lt;=0.12,(J31),(IF(E29&lt;0.16,((J30+2*J31+J32)/4),IF(E29&gt;=0.16,((J29+3*J30+2*J31+3*J32+J33)/10)))))</f>
        <v>0.21798763386542735</v>
      </c>
      <c r="L29" s="203">
        <f t="shared" ref="L29" si="5">ROUND(+(D24+D29)/2*(C29-C24),3)</f>
        <v>6.4000000000000001E-2</v>
      </c>
      <c r="M29" s="203">
        <f t="shared" ref="M29" si="6">ROUND(+K29*L29,4)</f>
        <v>1.4E-2</v>
      </c>
      <c r="N29" s="206">
        <f t="shared" ref="N29" si="7">ROUND(+M29/$M$88*100,2)</f>
        <v>13.13</v>
      </c>
      <c r="O29" s="207"/>
      <c r="P29" s="208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s="47" customFormat="1" ht="13.5" customHeight="1" x14ac:dyDescent="0.25">
      <c r="A30" s="39"/>
      <c r="B30" s="224"/>
      <c r="C30" s="204"/>
      <c r="D30" s="204"/>
      <c r="E30" s="204"/>
      <c r="F30" s="55" t="s">
        <v>45</v>
      </c>
      <c r="G30" s="56">
        <f t="shared" ref="G30" si="8">IF(E29&lt;0.125,"NA",IF(0.125&lt;=E29,(0.2*E29)))</f>
        <v>6.4000000000000001E-2</v>
      </c>
      <c r="H30" s="57"/>
      <c r="I30" s="58"/>
      <c r="J30" s="59"/>
      <c r="K30" s="204"/>
      <c r="L30" s="204"/>
      <c r="M30" s="204"/>
      <c r="N30" s="204"/>
      <c r="O30" s="204"/>
      <c r="P30" s="20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s="47" customFormat="1" ht="13.5" customHeight="1" x14ac:dyDescent="0.25">
      <c r="A31" s="39"/>
      <c r="B31" s="224"/>
      <c r="C31" s="204"/>
      <c r="D31" s="204"/>
      <c r="E31" s="204"/>
      <c r="F31" s="55" t="s">
        <v>46</v>
      </c>
      <c r="G31" s="56">
        <f t="shared" ref="G31" si="9">+E29*0.4</f>
        <v>0.128</v>
      </c>
      <c r="H31" s="57"/>
      <c r="I31" s="58"/>
      <c r="J31" s="59">
        <v>0.48893816932713691</v>
      </c>
      <c r="K31" s="204"/>
      <c r="L31" s="204"/>
      <c r="M31" s="204"/>
      <c r="N31" s="204"/>
      <c r="O31" s="204"/>
      <c r="P31" s="20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s="47" customFormat="1" ht="13.5" customHeight="1" x14ac:dyDescent="0.25">
      <c r="A32" s="39"/>
      <c r="B32" s="224"/>
      <c r="C32" s="204"/>
      <c r="D32" s="204"/>
      <c r="E32" s="204"/>
      <c r="F32" s="55" t="s">
        <v>47</v>
      </c>
      <c r="G32" s="56">
        <f t="shared" ref="G32" si="10">IF(E29&lt;0.125,"NA",IF(0.125&lt;=E29,(0.8*E29)))</f>
        <v>0.25600000000000001</v>
      </c>
      <c r="H32" s="57"/>
      <c r="I32" s="58"/>
      <c r="J32" s="59"/>
      <c r="K32" s="204"/>
      <c r="L32" s="204"/>
      <c r="M32" s="204"/>
      <c r="N32" s="204"/>
      <c r="O32" s="204"/>
      <c r="P32" s="20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s="47" customFormat="1" ht="13.5" customHeight="1" thickBot="1" x14ac:dyDescent="0.3">
      <c r="A33" s="39"/>
      <c r="B33" s="225"/>
      <c r="C33" s="205"/>
      <c r="D33" s="205"/>
      <c r="E33" s="205"/>
      <c r="F33" s="60" t="s">
        <v>48</v>
      </c>
      <c r="G33" s="61">
        <f t="shared" ref="G33" si="11">+E29</f>
        <v>0.32</v>
      </c>
      <c r="H33" s="62"/>
      <c r="I33" s="63"/>
      <c r="J33" s="64">
        <v>1.202</v>
      </c>
      <c r="K33" s="205"/>
      <c r="L33" s="205"/>
      <c r="M33" s="205"/>
      <c r="N33" s="205"/>
      <c r="O33" s="205"/>
      <c r="P33" s="210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s="47" customFormat="1" ht="13.5" customHeight="1" x14ac:dyDescent="0.25">
      <c r="A34" s="39"/>
      <c r="B34" s="223">
        <v>4</v>
      </c>
      <c r="C34" s="226">
        <f>+C29+$N$12</f>
        <v>1.0999999999999999</v>
      </c>
      <c r="D34" s="203">
        <v>0.34</v>
      </c>
      <c r="E34" s="203">
        <v>0.39</v>
      </c>
      <c r="F34" s="50" t="s">
        <v>44</v>
      </c>
      <c r="G34" s="51">
        <v>0</v>
      </c>
      <c r="H34" s="52"/>
      <c r="I34" s="53"/>
      <c r="J34" s="54"/>
      <c r="K34" s="203">
        <f t="shared" ref="K34" si="12">+IF(E34&lt;=0.12,(J36),(IF(E34&lt;0.16,((J35+2*J36+J37)/4),IF(E34&gt;=0.16,((J34+3*J35+2*J36+3*J37+J38)/10)))))</f>
        <v>0.21184192766215398</v>
      </c>
      <c r="L34" s="203">
        <f t="shared" ref="L34" si="13">ROUND(+(D29+D34)/2*(C34-C29),3)</f>
        <v>6.5000000000000002E-2</v>
      </c>
      <c r="M34" s="203">
        <f t="shared" ref="M34" si="14">ROUND(+K34*L34,4)</f>
        <v>1.38E-2</v>
      </c>
      <c r="N34" s="206">
        <f t="shared" ref="N34" si="15">ROUND(+M34/$M$88*100,2)</f>
        <v>12.95</v>
      </c>
      <c r="O34" s="207"/>
      <c r="P34" s="208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s="47" customFormat="1" ht="13.5" customHeight="1" x14ac:dyDescent="0.25">
      <c r="A35" s="39"/>
      <c r="B35" s="224"/>
      <c r="C35" s="204"/>
      <c r="D35" s="204"/>
      <c r="E35" s="204"/>
      <c r="F35" s="55" t="s">
        <v>45</v>
      </c>
      <c r="G35" s="56">
        <f t="shared" ref="G35" si="16">IF(E34&lt;0.125,"NA",IF(0.125&lt;=E34,(0.2*E34)))</f>
        <v>7.8000000000000014E-2</v>
      </c>
      <c r="H35" s="57"/>
      <c r="I35" s="58"/>
      <c r="J35" s="59"/>
      <c r="K35" s="204"/>
      <c r="L35" s="204"/>
      <c r="M35" s="204"/>
      <c r="N35" s="204"/>
      <c r="O35" s="204"/>
      <c r="P35" s="20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s="47" customFormat="1" ht="13.5" customHeight="1" x14ac:dyDescent="0.25">
      <c r="A36" s="39"/>
      <c r="B36" s="224"/>
      <c r="C36" s="204"/>
      <c r="D36" s="204"/>
      <c r="E36" s="204"/>
      <c r="F36" s="55" t="s">
        <v>46</v>
      </c>
      <c r="G36" s="56">
        <f t="shared" ref="G36" si="17">+E34*0.4</f>
        <v>0.15600000000000003</v>
      </c>
      <c r="H36" s="57"/>
      <c r="I36" s="58"/>
      <c r="J36" s="59">
        <v>0.80770963831076981</v>
      </c>
      <c r="K36" s="204"/>
      <c r="L36" s="204"/>
      <c r="M36" s="204"/>
      <c r="N36" s="204"/>
      <c r="O36" s="204"/>
      <c r="P36" s="20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s="47" customFormat="1" ht="13.5" customHeight="1" x14ac:dyDescent="0.25">
      <c r="A37" s="39"/>
      <c r="B37" s="224"/>
      <c r="C37" s="204"/>
      <c r="D37" s="204"/>
      <c r="E37" s="204"/>
      <c r="F37" s="55" t="s">
        <v>47</v>
      </c>
      <c r="G37" s="56">
        <f t="shared" ref="G37" si="18">IF(E34&lt;0.125,"NA",IF(0.125&lt;=E34,(0.8*E34)))</f>
        <v>0.31200000000000006</v>
      </c>
      <c r="H37" s="57"/>
      <c r="I37" s="58"/>
      <c r="J37" s="59"/>
      <c r="K37" s="204"/>
      <c r="L37" s="204"/>
      <c r="M37" s="204"/>
      <c r="N37" s="204"/>
      <c r="O37" s="204"/>
      <c r="P37" s="20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s="47" customFormat="1" ht="13.5" customHeight="1" thickBot="1" x14ac:dyDescent="0.3">
      <c r="A38" s="39"/>
      <c r="B38" s="225"/>
      <c r="C38" s="205"/>
      <c r="D38" s="205"/>
      <c r="E38" s="205"/>
      <c r="F38" s="60" t="s">
        <v>48</v>
      </c>
      <c r="G38" s="61">
        <f t="shared" ref="G38" si="19">+E34</f>
        <v>0.39</v>
      </c>
      <c r="H38" s="62"/>
      <c r="I38" s="63"/>
      <c r="J38" s="64">
        <v>0.503</v>
      </c>
      <c r="K38" s="205"/>
      <c r="L38" s="205"/>
      <c r="M38" s="205"/>
      <c r="N38" s="205"/>
      <c r="O38" s="205"/>
      <c r="P38" s="210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s="47" customFormat="1" ht="13.5" customHeight="1" x14ac:dyDescent="0.25">
      <c r="A39" s="39"/>
      <c r="B39" s="223">
        <v>5</v>
      </c>
      <c r="C39" s="226">
        <f>+C34+$N$12</f>
        <v>1.2999999999999998</v>
      </c>
      <c r="D39" s="203">
        <v>0.26</v>
      </c>
      <c r="E39" s="203">
        <v>0.28000000000000003</v>
      </c>
      <c r="F39" s="50" t="s">
        <v>44</v>
      </c>
      <c r="G39" s="51">
        <v>0</v>
      </c>
      <c r="H39" s="52"/>
      <c r="I39" s="53"/>
      <c r="J39" s="54"/>
      <c r="K39" s="203">
        <f t="shared" ref="K39" si="20">+IF(E39&lt;=0.12,(J41),(IF(E39&lt;0.16,((J40+2*J41+J42)/4),IF(E39&gt;=0.16,((J39+3*J40+2*J41+3*J42+J43)/10)))))</f>
        <v>0.21184192766215398</v>
      </c>
      <c r="L39" s="203">
        <f t="shared" ref="L39" si="21">ROUND(+(D34+D39)/2*(C39-C34),3)</f>
        <v>0.06</v>
      </c>
      <c r="M39" s="203">
        <f t="shared" ref="M39" si="22">ROUND(+K39*L39,4)</f>
        <v>1.2699999999999999E-2</v>
      </c>
      <c r="N39" s="206">
        <f t="shared" ref="N39" si="23">ROUND(+M39/$M$88*100,2)</f>
        <v>11.91</v>
      </c>
      <c r="O39" s="207"/>
      <c r="P39" s="208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s="47" customFormat="1" ht="13.5" customHeight="1" x14ac:dyDescent="0.25">
      <c r="A40" s="39"/>
      <c r="B40" s="224"/>
      <c r="C40" s="204"/>
      <c r="D40" s="204"/>
      <c r="E40" s="204"/>
      <c r="F40" s="55" t="s">
        <v>45</v>
      </c>
      <c r="G40" s="56">
        <f t="shared" ref="G40" si="24">IF(E39&lt;0.125,"NA",IF(0.125&lt;=E39,(0.2*E39)))</f>
        <v>5.6000000000000008E-2</v>
      </c>
      <c r="H40" s="57"/>
      <c r="I40" s="58"/>
      <c r="J40" s="59"/>
      <c r="K40" s="204"/>
      <c r="L40" s="204"/>
      <c r="M40" s="204"/>
      <c r="N40" s="204"/>
      <c r="O40" s="204"/>
      <c r="P40" s="20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s="47" customFormat="1" ht="13.5" customHeight="1" x14ac:dyDescent="0.25">
      <c r="A41" s="39"/>
      <c r="B41" s="224"/>
      <c r="C41" s="204"/>
      <c r="D41" s="204"/>
      <c r="E41" s="204"/>
      <c r="F41" s="55" t="s">
        <v>46</v>
      </c>
      <c r="G41" s="56">
        <f t="shared" ref="G41" si="25">+E39*0.4</f>
        <v>0.11200000000000002</v>
      </c>
      <c r="H41" s="57"/>
      <c r="I41" s="58"/>
      <c r="J41" s="59">
        <v>0.80770963831076981</v>
      </c>
      <c r="K41" s="204"/>
      <c r="L41" s="204"/>
      <c r="M41" s="204"/>
      <c r="N41" s="204"/>
      <c r="O41" s="204"/>
      <c r="P41" s="20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s="47" customFormat="1" ht="13.5" customHeight="1" x14ac:dyDescent="0.25">
      <c r="A42" s="39"/>
      <c r="B42" s="224"/>
      <c r="C42" s="204"/>
      <c r="D42" s="204"/>
      <c r="E42" s="204"/>
      <c r="F42" s="55" t="s">
        <v>47</v>
      </c>
      <c r="G42" s="56">
        <f t="shared" ref="G42" si="26">IF(E39&lt;0.125,"NA",IF(0.125&lt;=E39,(0.8*E39)))</f>
        <v>0.22400000000000003</v>
      </c>
      <c r="H42" s="57"/>
      <c r="I42" s="58"/>
      <c r="J42" s="59"/>
      <c r="K42" s="204"/>
      <c r="L42" s="204"/>
      <c r="M42" s="204"/>
      <c r="N42" s="204"/>
      <c r="O42" s="204"/>
      <c r="P42" s="20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s="47" customFormat="1" ht="13.5" customHeight="1" thickBot="1" x14ac:dyDescent="0.3">
      <c r="A43" s="39"/>
      <c r="B43" s="225"/>
      <c r="C43" s="205"/>
      <c r="D43" s="205"/>
      <c r="E43" s="205"/>
      <c r="F43" s="60" t="s">
        <v>48</v>
      </c>
      <c r="G43" s="61">
        <f t="shared" ref="G43" si="27">+E39</f>
        <v>0.28000000000000003</v>
      </c>
      <c r="H43" s="62"/>
      <c r="I43" s="63"/>
      <c r="J43" s="64">
        <v>0.503</v>
      </c>
      <c r="K43" s="205"/>
      <c r="L43" s="205"/>
      <c r="M43" s="205"/>
      <c r="N43" s="205"/>
      <c r="O43" s="205"/>
      <c r="P43" s="210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s="47" customFormat="1" ht="13.5" customHeight="1" x14ac:dyDescent="0.25">
      <c r="A44" s="39"/>
      <c r="B44" s="223">
        <v>6</v>
      </c>
      <c r="C44" s="226">
        <f>+C39+$N$12</f>
        <v>1.4999999999999998</v>
      </c>
      <c r="D44" s="203">
        <v>0.21</v>
      </c>
      <c r="E44" s="203">
        <v>0.26</v>
      </c>
      <c r="F44" s="50" t="s">
        <v>44</v>
      </c>
      <c r="G44" s="51">
        <v>0</v>
      </c>
      <c r="H44" s="52"/>
      <c r="I44" s="53"/>
      <c r="J44" s="54"/>
      <c r="K44" s="203">
        <f t="shared" ref="K44" si="28">+IF(E44&lt;=0.12,(J46),(IF(E44&lt;0.16,((J45+2*J46+J47)/4),IF(E44&gt;=0.16,((J44+3*J45+2*J46+3*J47+J48)/10)))))</f>
        <v>0.20836545430053213</v>
      </c>
      <c r="L44" s="203">
        <f t="shared" ref="L44" si="29">ROUND(+(D39+D44)/2*(C44-C39),3)</f>
        <v>4.7E-2</v>
      </c>
      <c r="M44" s="203">
        <f t="shared" ref="M44" si="30">ROUND(+K44*L44,4)</f>
        <v>9.7999999999999997E-3</v>
      </c>
      <c r="N44" s="206">
        <f t="shared" ref="N44" si="31">ROUND(+M44/$M$88*100,2)</f>
        <v>9.19</v>
      </c>
      <c r="O44" s="207"/>
      <c r="P44" s="208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s="47" customFormat="1" ht="13.5" customHeight="1" x14ac:dyDescent="0.25">
      <c r="A45" s="39"/>
      <c r="B45" s="224"/>
      <c r="C45" s="204"/>
      <c r="D45" s="204"/>
      <c r="E45" s="204"/>
      <c r="F45" s="55" t="s">
        <v>45</v>
      </c>
      <c r="G45" s="56">
        <f t="shared" ref="G45" si="32">IF(E44&lt;0.125,"NA",IF(0.125&lt;=E44,(0.2*E44)))</f>
        <v>5.2000000000000005E-2</v>
      </c>
      <c r="H45" s="57"/>
      <c r="I45" s="58"/>
      <c r="J45" s="59"/>
      <c r="K45" s="204"/>
      <c r="L45" s="204"/>
      <c r="M45" s="204"/>
      <c r="N45" s="204"/>
      <c r="O45" s="204"/>
      <c r="P45" s="20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s="47" customFormat="1" ht="13.5" customHeight="1" x14ac:dyDescent="0.25">
      <c r="A46" s="39"/>
      <c r="B46" s="224"/>
      <c r="C46" s="204"/>
      <c r="D46" s="204"/>
      <c r="E46" s="204"/>
      <c r="F46" s="55" t="s">
        <v>46</v>
      </c>
      <c r="G46" s="56">
        <f t="shared" ref="G46" si="33">+E44*0.4</f>
        <v>0.10400000000000001</v>
      </c>
      <c r="H46" s="57"/>
      <c r="I46" s="58"/>
      <c r="J46" s="59">
        <v>0.69832727150266061</v>
      </c>
      <c r="K46" s="204"/>
      <c r="L46" s="204"/>
      <c r="M46" s="204"/>
      <c r="N46" s="204"/>
      <c r="O46" s="204"/>
      <c r="P46" s="20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s="47" customFormat="1" ht="13.5" customHeight="1" x14ac:dyDescent="0.25">
      <c r="A47" s="39"/>
      <c r="B47" s="224"/>
      <c r="C47" s="204"/>
      <c r="D47" s="204"/>
      <c r="E47" s="204"/>
      <c r="F47" s="55" t="s">
        <v>47</v>
      </c>
      <c r="G47" s="56">
        <f t="shared" ref="G47" si="34">IF(E44&lt;0.125,"NA",IF(0.125&lt;=E44,(0.8*E44)))</f>
        <v>0.20800000000000002</v>
      </c>
      <c r="H47" s="57"/>
      <c r="I47" s="58"/>
      <c r="J47" s="59"/>
      <c r="K47" s="204"/>
      <c r="L47" s="204"/>
      <c r="M47" s="204"/>
      <c r="N47" s="204"/>
      <c r="O47" s="204"/>
      <c r="P47" s="20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s="47" customFormat="1" ht="13.5" customHeight="1" thickBot="1" x14ac:dyDescent="0.3">
      <c r="A48" s="39"/>
      <c r="B48" s="225"/>
      <c r="C48" s="205"/>
      <c r="D48" s="205"/>
      <c r="E48" s="205"/>
      <c r="F48" s="60" t="s">
        <v>48</v>
      </c>
      <c r="G48" s="61">
        <f t="shared" ref="G48" si="35">+E44</f>
        <v>0.26</v>
      </c>
      <c r="H48" s="62"/>
      <c r="I48" s="63"/>
      <c r="J48" s="64">
        <v>0.68700000000000006</v>
      </c>
      <c r="K48" s="205"/>
      <c r="L48" s="205"/>
      <c r="M48" s="205"/>
      <c r="N48" s="205"/>
      <c r="O48" s="205"/>
      <c r="P48" s="210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s="47" customFormat="1" ht="13.5" customHeight="1" x14ac:dyDescent="0.25">
      <c r="A49" s="39"/>
      <c r="B49" s="223">
        <v>7</v>
      </c>
      <c r="C49" s="226">
        <f>+C44+$N$12</f>
        <v>1.6999999999999997</v>
      </c>
      <c r="D49" s="203">
        <v>0.12</v>
      </c>
      <c r="E49" s="203">
        <v>0.14000000000000001</v>
      </c>
      <c r="F49" s="50" t="s">
        <v>44</v>
      </c>
      <c r="G49" s="51">
        <v>0</v>
      </c>
      <c r="H49" s="52"/>
      <c r="I49" s="53"/>
      <c r="J49" s="54"/>
      <c r="K49" s="203">
        <f t="shared" ref="K49" si="36">+IF(E49&lt;=0.12,(J51),(IF(E49&lt;0.16,((J50+2*J51+J52)/4),IF(E49&gt;=0.16,((J49+3*J50+2*J51+3*J52+J53)/10)))))</f>
        <v>5.7659628207718736E-2</v>
      </c>
      <c r="L49" s="203">
        <f t="shared" ref="L49" si="37">ROUND(+(D44+D49)/2*(C49-C44),3)</f>
        <v>3.3000000000000002E-2</v>
      </c>
      <c r="M49" s="203">
        <f t="shared" ref="M49" si="38">ROUND(+K49*L49,4)</f>
        <v>1.9E-3</v>
      </c>
      <c r="N49" s="206">
        <f t="shared" ref="N49" si="39">ROUND(+M49/$M$88*100,2)</f>
        <v>1.78</v>
      </c>
      <c r="O49" s="207"/>
      <c r="P49" s="208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s="47" customFormat="1" ht="13.5" customHeight="1" x14ac:dyDescent="0.25">
      <c r="A50" s="39"/>
      <c r="B50" s="224"/>
      <c r="C50" s="204"/>
      <c r="D50" s="204"/>
      <c r="E50" s="204"/>
      <c r="F50" s="55" t="s">
        <v>45</v>
      </c>
      <c r="G50" s="56">
        <f t="shared" ref="G50" si="40">IF(E49&lt;0.125,"NA",IF(0.125&lt;=E49,(0.2*E49)))</f>
        <v>2.8000000000000004E-2</v>
      </c>
      <c r="H50" s="57"/>
      <c r="I50" s="58"/>
      <c r="J50" s="59"/>
      <c r="K50" s="204"/>
      <c r="L50" s="204"/>
      <c r="M50" s="204"/>
      <c r="N50" s="204"/>
      <c r="O50" s="204"/>
      <c r="P50" s="20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s="47" customFormat="1" ht="13.5" customHeight="1" x14ac:dyDescent="0.25">
      <c r="A51" s="39"/>
      <c r="B51" s="224"/>
      <c r="C51" s="204"/>
      <c r="D51" s="204"/>
      <c r="E51" s="204"/>
      <c r="F51" s="55" t="s">
        <v>46</v>
      </c>
      <c r="G51" s="56">
        <f t="shared" ref="G51" si="41">+E49*0.4</f>
        <v>5.6000000000000008E-2</v>
      </c>
      <c r="H51" s="57"/>
      <c r="I51" s="58"/>
      <c r="J51" s="59">
        <v>0.11531925641543747</v>
      </c>
      <c r="K51" s="204"/>
      <c r="L51" s="204"/>
      <c r="M51" s="204"/>
      <c r="N51" s="204"/>
      <c r="O51" s="204"/>
      <c r="P51" s="20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s="47" customFormat="1" ht="13.5" customHeight="1" x14ac:dyDescent="0.25">
      <c r="A52" s="39"/>
      <c r="B52" s="224"/>
      <c r="C52" s="204"/>
      <c r="D52" s="204"/>
      <c r="E52" s="204"/>
      <c r="F52" s="55" t="s">
        <v>47</v>
      </c>
      <c r="G52" s="56">
        <f t="shared" ref="G52" si="42">IF(E49&lt;0.125,"NA",IF(0.125&lt;=E49,(0.8*E49)))</f>
        <v>0.11200000000000002</v>
      </c>
      <c r="H52" s="57"/>
      <c r="I52" s="58"/>
      <c r="J52" s="59"/>
      <c r="K52" s="204"/>
      <c r="L52" s="204"/>
      <c r="M52" s="204"/>
      <c r="N52" s="204"/>
      <c r="O52" s="204"/>
      <c r="P52" s="20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s="47" customFormat="1" ht="13.5" customHeight="1" thickBot="1" x14ac:dyDescent="0.3">
      <c r="A53" s="39"/>
      <c r="B53" s="225"/>
      <c r="C53" s="205"/>
      <c r="D53" s="205"/>
      <c r="E53" s="205"/>
      <c r="F53" s="60" t="s">
        <v>48</v>
      </c>
      <c r="G53" s="61">
        <f t="shared" ref="G53" si="43">+E49</f>
        <v>0.14000000000000001</v>
      </c>
      <c r="H53" s="62"/>
      <c r="I53" s="63"/>
      <c r="J53" s="64"/>
      <c r="K53" s="205"/>
      <c r="L53" s="205"/>
      <c r="M53" s="205"/>
      <c r="N53" s="205"/>
      <c r="O53" s="205"/>
      <c r="P53" s="210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s="47" customFormat="1" ht="13.5" customHeight="1" x14ac:dyDescent="0.25">
      <c r="A54" s="39"/>
      <c r="B54" s="223">
        <v>8</v>
      </c>
      <c r="C54" s="226">
        <f>+C49+$N$12</f>
        <v>1.8999999999999997</v>
      </c>
      <c r="D54" s="203">
        <v>0.08</v>
      </c>
      <c r="E54" s="203">
        <v>7.0000000000000007E-2</v>
      </c>
      <c r="F54" s="50" t="s">
        <v>44</v>
      </c>
      <c r="G54" s="51">
        <v>0</v>
      </c>
      <c r="H54" s="52"/>
      <c r="I54" s="53"/>
      <c r="J54" s="54"/>
      <c r="K54" s="203">
        <f t="shared" ref="K54" si="44">+IF(E54&lt;=0.12,(J56),(IF(E54&lt;0.16,((J55+2*J56+J57)/4),IF(E54&gt;=0.16,((J54+3*J55+2*J56+3*J57+J58)/10)))))</f>
        <v>0.23720246514447363</v>
      </c>
      <c r="L54" s="203">
        <f t="shared" ref="L54" si="45">ROUND(+(D49+D54)/2*(C54-C49),3)</f>
        <v>0.02</v>
      </c>
      <c r="M54" s="203">
        <f t="shared" ref="M54" si="46">ROUND(+K54*L54,4)</f>
        <v>4.7000000000000002E-3</v>
      </c>
      <c r="N54" s="206">
        <f t="shared" ref="N54" si="47">ROUND(+M54/$M$88*100,2)</f>
        <v>4.41</v>
      </c>
      <c r="O54" s="207"/>
      <c r="P54" s="208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s="47" customFormat="1" ht="13.5" customHeight="1" x14ac:dyDescent="0.25">
      <c r="A55" s="39"/>
      <c r="B55" s="224"/>
      <c r="C55" s="204"/>
      <c r="D55" s="204"/>
      <c r="E55" s="204"/>
      <c r="F55" s="55" t="s">
        <v>45</v>
      </c>
      <c r="G55" s="56" t="str">
        <f t="shared" ref="G55" si="48">IF(E54&lt;0.125,"NA",IF(0.125&lt;=E54,(0.2*E54)))</f>
        <v>NA</v>
      </c>
      <c r="H55" s="57"/>
      <c r="I55" s="58"/>
      <c r="J55" s="59"/>
      <c r="K55" s="204"/>
      <c r="L55" s="204"/>
      <c r="M55" s="204"/>
      <c r="N55" s="204"/>
      <c r="O55" s="204"/>
      <c r="P55" s="20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s="47" customFormat="1" ht="13.5" customHeight="1" x14ac:dyDescent="0.25">
      <c r="A56" s="39"/>
      <c r="B56" s="224"/>
      <c r="C56" s="204"/>
      <c r="D56" s="204"/>
      <c r="E56" s="204"/>
      <c r="F56" s="55" t="s">
        <v>46</v>
      </c>
      <c r="G56" s="56">
        <f t="shared" ref="G56" si="49">+E54*0.4</f>
        <v>2.8000000000000004E-2</v>
      </c>
      <c r="H56" s="57"/>
      <c r="I56" s="58"/>
      <c r="J56" s="59">
        <v>0.23720246514447363</v>
      </c>
      <c r="K56" s="204"/>
      <c r="L56" s="204"/>
      <c r="M56" s="204"/>
      <c r="N56" s="204"/>
      <c r="O56" s="204"/>
      <c r="P56" s="20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s="47" customFormat="1" ht="13.5" customHeight="1" x14ac:dyDescent="0.25">
      <c r="A57" s="39"/>
      <c r="B57" s="224"/>
      <c r="C57" s="204"/>
      <c r="D57" s="204"/>
      <c r="E57" s="204"/>
      <c r="F57" s="55" t="s">
        <v>47</v>
      </c>
      <c r="G57" s="56" t="str">
        <f t="shared" ref="G57" si="50">IF(E54&lt;0.125,"NA",IF(0.125&lt;=E54,(0.8*E54)))</f>
        <v>NA</v>
      </c>
      <c r="H57" s="57"/>
      <c r="I57" s="58"/>
      <c r="J57" s="59"/>
      <c r="K57" s="204"/>
      <c r="L57" s="204"/>
      <c r="M57" s="204"/>
      <c r="N57" s="204"/>
      <c r="O57" s="204"/>
      <c r="P57" s="20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s="47" customFormat="1" ht="13.5" customHeight="1" thickBot="1" x14ac:dyDescent="0.3">
      <c r="A58" s="39"/>
      <c r="B58" s="225"/>
      <c r="C58" s="205"/>
      <c r="D58" s="205"/>
      <c r="E58" s="205"/>
      <c r="F58" s="60" t="s">
        <v>48</v>
      </c>
      <c r="G58" s="61">
        <f t="shared" ref="G58" si="51">+E54</f>
        <v>7.0000000000000007E-2</v>
      </c>
      <c r="H58" s="62"/>
      <c r="I58" s="63"/>
      <c r="J58" s="64"/>
      <c r="K58" s="205"/>
      <c r="L58" s="205"/>
      <c r="M58" s="205"/>
      <c r="N58" s="205"/>
      <c r="O58" s="205"/>
      <c r="P58" s="210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s="47" customFormat="1" ht="13.5" customHeight="1" x14ac:dyDescent="0.25">
      <c r="A59" s="39"/>
      <c r="B59" s="223">
        <v>9</v>
      </c>
      <c r="C59" s="226">
        <f>+C54+$N$12</f>
        <v>2.0999999999999996</v>
      </c>
      <c r="D59" s="203">
        <v>0.11</v>
      </c>
      <c r="E59" s="203">
        <v>0.11</v>
      </c>
      <c r="F59" s="50" t="s">
        <v>44</v>
      </c>
      <c r="G59" s="51">
        <v>0</v>
      </c>
      <c r="H59" s="52"/>
      <c r="I59" s="53"/>
      <c r="J59" s="54"/>
      <c r="K59" s="203">
        <f t="shared" ref="K59" si="52">+IF(E59&lt;=0.12,(J61),(IF(E59&lt;0.16,((J60+2*J61+J62)/4),IF(E59&gt;=0.16,((J59+3*J60+2*J61+3*J62+J63)/10)))))</f>
        <v>0.15469690846635686</v>
      </c>
      <c r="L59" s="203">
        <f t="shared" ref="L59" si="53">ROUND(+(D54+D59)/2*(C59-C54),3)</f>
        <v>1.9E-2</v>
      </c>
      <c r="M59" s="203">
        <f t="shared" ref="M59" si="54">ROUND(+K59*L59,4)</f>
        <v>2.8999999999999998E-3</v>
      </c>
      <c r="N59" s="206">
        <f t="shared" ref="N59" si="55">ROUND(+M59/$M$88*100,2)</f>
        <v>2.72</v>
      </c>
      <c r="O59" s="207"/>
      <c r="P59" s="208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s="47" customFormat="1" ht="13.5" customHeight="1" x14ac:dyDescent="0.25">
      <c r="A60" s="39"/>
      <c r="B60" s="224"/>
      <c r="C60" s="204"/>
      <c r="D60" s="204"/>
      <c r="E60" s="204"/>
      <c r="F60" s="55" t="s">
        <v>45</v>
      </c>
      <c r="G60" s="56" t="str">
        <f t="shared" ref="G60" si="56">IF(E59&lt;0.125,"NA",IF(0.125&lt;=E59,(0.2*E59)))</f>
        <v>NA</v>
      </c>
      <c r="H60" s="57"/>
      <c r="I60" s="58"/>
      <c r="J60" s="59"/>
      <c r="K60" s="204"/>
      <c r="L60" s="204"/>
      <c r="M60" s="204"/>
      <c r="N60" s="204"/>
      <c r="O60" s="204"/>
      <c r="P60" s="20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s="47" customFormat="1" ht="13.5" customHeight="1" x14ac:dyDescent="0.25">
      <c r="A61" s="39"/>
      <c r="B61" s="224"/>
      <c r="C61" s="204"/>
      <c r="D61" s="204"/>
      <c r="E61" s="204"/>
      <c r="F61" s="55" t="s">
        <v>46</v>
      </c>
      <c r="G61" s="56">
        <f t="shared" ref="G61" si="57">+E59*0.4</f>
        <v>4.4000000000000004E-2</v>
      </c>
      <c r="H61" s="57"/>
      <c r="I61" s="58"/>
      <c r="J61" s="59">
        <v>0.15469690846635686</v>
      </c>
      <c r="K61" s="204"/>
      <c r="L61" s="204"/>
      <c r="M61" s="204"/>
      <c r="N61" s="204"/>
      <c r="O61" s="204"/>
      <c r="P61" s="20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s="47" customFormat="1" ht="13.5" customHeight="1" x14ac:dyDescent="0.25">
      <c r="A62" s="39"/>
      <c r="B62" s="224"/>
      <c r="C62" s="204"/>
      <c r="D62" s="204"/>
      <c r="E62" s="204"/>
      <c r="F62" s="55" t="s">
        <v>47</v>
      </c>
      <c r="G62" s="56" t="str">
        <f t="shared" ref="G62" si="58">IF(E59&lt;0.125,"NA",IF(0.125&lt;=E59,(0.8*E59)))</f>
        <v>NA</v>
      </c>
      <c r="H62" s="57"/>
      <c r="I62" s="58"/>
      <c r="J62" s="59"/>
      <c r="K62" s="204"/>
      <c r="L62" s="204"/>
      <c r="M62" s="204"/>
      <c r="N62" s="204"/>
      <c r="O62" s="204"/>
      <c r="P62" s="20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s="47" customFormat="1" ht="13.5" customHeight="1" thickBot="1" x14ac:dyDescent="0.3">
      <c r="A63" s="39"/>
      <c r="B63" s="225"/>
      <c r="C63" s="205"/>
      <c r="D63" s="205"/>
      <c r="E63" s="205"/>
      <c r="F63" s="60" t="s">
        <v>48</v>
      </c>
      <c r="G63" s="61">
        <f t="shared" ref="G63" si="59">+E59</f>
        <v>0.11</v>
      </c>
      <c r="H63" s="62"/>
      <c r="I63" s="63"/>
      <c r="J63" s="64"/>
      <c r="K63" s="205"/>
      <c r="L63" s="205"/>
      <c r="M63" s="205"/>
      <c r="N63" s="205"/>
      <c r="O63" s="205"/>
      <c r="P63" s="210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s="47" customFormat="1" ht="13.5" customHeight="1" x14ac:dyDescent="0.25">
      <c r="A64" s="39"/>
      <c r="B64" s="223">
        <v>10</v>
      </c>
      <c r="C64" s="226">
        <f>+C59+$N$12</f>
        <v>2.2999999999999998</v>
      </c>
      <c r="D64" s="203">
        <v>7.0000000000000007E-2</v>
      </c>
      <c r="E64" s="203">
        <v>7.0000000000000007E-2</v>
      </c>
      <c r="F64" s="50" t="s">
        <v>44</v>
      </c>
      <c r="G64" s="51">
        <v>0</v>
      </c>
      <c r="H64" s="52"/>
      <c r="I64" s="53"/>
      <c r="J64" s="54"/>
      <c r="K64" s="203">
        <f t="shared" ref="K64" si="60">+IF(E64&lt;=0.12,(J66),(IF(E64&lt;0.16,((J65+2*J66+J67)/4),IF(E64&gt;=0.16,((J64+3*J65+2*J66+3*J67+J68)/10)))))</f>
        <v>5.2502525762780354E-2</v>
      </c>
      <c r="L64" s="203">
        <f t="shared" ref="L64" si="61">ROUND(+(D59+D64)/2*(C64-C59),3)</f>
        <v>1.7999999999999999E-2</v>
      </c>
      <c r="M64" s="203">
        <f t="shared" ref="M64" si="62">ROUND(+K64*L64,4)</f>
        <v>8.9999999999999998E-4</v>
      </c>
      <c r="N64" s="206">
        <f t="shared" ref="N64" si="63">ROUND(+M64/$M$88*100,2)</f>
        <v>0.84</v>
      </c>
      <c r="O64" s="207"/>
      <c r="P64" s="208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s="47" customFormat="1" ht="13.5" customHeight="1" x14ac:dyDescent="0.25">
      <c r="A65" s="39"/>
      <c r="B65" s="224"/>
      <c r="C65" s="204"/>
      <c r="D65" s="204"/>
      <c r="E65" s="204"/>
      <c r="F65" s="55" t="s">
        <v>45</v>
      </c>
      <c r="G65" s="56" t="str">
        <f t="shared" ref="G65" si="64">IF(E64&lt;0.125,"NA",IF(0.125&lt;=E64,(0.2*E64)))</f>
        <v>NA</v>
      </c>
      <c r="H65" s="57"/>
      <c r="I65" s="58"/>
      <c r="J65" s="59"/>
      <c r="K65" s="204"/>
      <c r="L65" s="204"/>
      <c r="M65" s="204"/>
      <c r="N65" s="204"/>
      <c r="O65" s="204"/>
      <c r="P65" s="20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s="47" customFormat="1" ht="13.5" customHeight="1" x14ac:dyDescent="0.25">
      <c r="A66" s="39"/>
      <c r="B66" s="224"/>
      <c r="C66" s="204"/>
      <c r="D66" s="204"/>
      <c r="E66" s="204"/>
      <c r="F66" s="55" t="s">
        <v>46</v>
      </c>
      <c r="G66" s="56">
        <f t="shared" ref="G66" si="65">+E64*0.4</f>
        <v>2.8000000000000004E-2</v>
      </c>
      <c r="H66" s="57"/>
      <c r="I66" s="58"/>
      <c r="J66" s="59">
        <v>5.2502525762780354E-2</v>
      </c>
      <c r="K66" s="204"/>
      <c r="L66" s="204"/>
      <c r="M66" s="204"/>
      <c r="N66" s="204"/>
      <c r="O66" s="204"/>
      <c r="P66" s="20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s="47" customFormat="1" ht="13.5" customHeight="1" x14ac:dyDescent="0.25">
      <c r="A67" s="39"/>
      <c r="B67" s="224"/>
      <c r="C67" s="204"/>
      <c r="D67" s="204"/>
      <c r="E67" s="204"/>
      <c r="F67" s="55" t="s">
        <v>47</v>
      </c>
      <c r="G67" s="56" t="str">
        <f t="shared" ref="G67" si="66">IF(E64&lt;0.125,"NA",IF(0.125&lt;=E64,(0.8*E64)))</f>
        <v>NA</v>
      </c>
      <c r="H67" s="57"/>
      <c r="I67" s="58"/>
      <c r="J67" s="59"/>
      <c r="K67" s="204"/>
      <c r="L67" s="204"/>
      <c r="M67" s="204"/>
      <c r="N67" s="204"/>
      <c r="O67" s="204"/>
      <c r="P67" s="20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s="47" customFormat="1" ht="13.5" customHeight="1" thickBot="1" x14ac:dyDescent="0.3">
      <c r="A68" s="39"/>
      <c r="B68" s="225"/>
      <c r="C68" s="205"/>
      <c r="D68" s="205"/>
      <c r="E68" s="205"/>
      <c r="F68" s="60" t="s">
        <v>48</v>
      </c>
      <c r="G68" s="61">
        <f t="shared" ref="G68" si="67">+E64</f>
        <v>7.0000000000000007E-2</v>
      </c>
      <c r="H68" s="62"/>
      <c r="I68" s="63"/>
      <c r="J68" s="64"/>
      <c r="K68" s="205"/>
      <c r="L68" s="205"/>
      <c r="M68" s="205"/>
      <c r="N68" s="205"/>
      <c r="O68" s="205"/>
      <c r="P68" s="210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s="65" customFormat="1" ht="14.1" customHeight="1" x14ac:dyDescent="0.2">
      <c r="B69" s="211" t="s">
        <v>49</v>
      </c>
      <c r="C69" s="214"/>
      <c r="D69" s="215"/>
      <c r="E69" s="215"/>
      <c r="F69" s="215"/>
      <c r="G69" s="215"/>
      <c r="H69" s="215"/>
      <c r="I69" s="215"/>
      <c r="J69" s="215"/>
      <c r="K69" s="215"/>
      <c r="L69" s="215"/>
      <c r="M69" s="215"/>
      <c r="N69" s="215"/>
      <c r="O69" s="215"/>
      <c r="P69" s="216"/>
    </row>
    <row r="70" spans="1:26" s="65" customFormat="1" ht="14.1" customHeight="1" x14ac:dyDescent="0.2">
      <c r="B70" s="212"/>
      <c r="C70" s="217"/>
      <c r="D70" s="218"/>
      <c r="E70" s="218"/>
      <c r="F70" s="218"/>
      <c r="G70" s="218"/>
      <c r="H70" s="218"/>
      <c r="I70" s="218"/>
      <c r="J70" s="218"/>
      <c r="K70" s="218"/>
      <c r="L70" s="218"/>
      <c r="M70" s="218"/>
      <c r="N70" s="218"/>
      <c r="O70" s="218"/>
      <c r="P70" s="219"/>
    </row>
    <row r="71" spans="1:26" s="65" customFormat="1" ht="14.1" customHeight="1" x14ac:dyDescent="0.2">
      <c r="B71" s="212"/>
      <c r="C71" s="217"/>
      <c r="D71" s="218"/>
      <c r="E71" s="218"/>
      <c r="F71" s="218"/>
      <c r="G71" s="218"/>
      <c r="H71" s="218"/>
      <c r="I71" s="218"/>
      <c r="J71" s="218"/>
      <c r="K71" s="218"/>
      <c r="L71" s="218"/>
      <c r="M71" s="218"/>
      <c r="N71" s="218"/>
      <c r="O71" s="218"/>
      <c r="P71" s="219"/>
    </row>
    <row r="72" spans="1:26" s="65" customFormat="1" ht="14.1" customHeight="1" x14ac:dyDescent="0.2">
      <c r="B72" s="212"/>
      <c r="C72" s="217"/>
      <c r="D72" s="218"/>
      <c r="E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9"/>
    </row>
    <row r="73" spans="1:26" s="65" customFormat="1" ht="14.1" customHeight="1" x14ac:dyDescent="0.2">
      <c r="B73" s="212"/>
      <c r="C73" s="217"/>
      <c r="D73" s="218"/>
      <c r="E73" s="218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219"/>
    </row>
    <row r="74" spans="1:26" s="65" customFormat="1" ht="14.1" customHeight="1" thickBot="1" x14ac:dyDescent="0.25">
      <c r="B74" s="213"/>
      <c r="C74" s="220"/>
      <c r="D74" s="221"/>
      <c r="E74" s="221"/>
      <c r="F74" s="221"/>
      <c r="G74" s="221"/>
      <c r="H74" s="221"/>
      <c r="I74" s="221"/>
      <c r="J74" s="221"/>
      <c r="K74" s="221"/>
      <c r="L74" s="221"/>
      <c r="M74" s="221"/>
      <c r="N74" s="221"/>
      <c r="O74" s="221"/>
      <c r="P74" s="222"/>
    </row>
    <row r="75" spans="1:26" s="65" customFormat="1" ht="28.5" customHeight="1" thickBot="1" x14ac:dyDescent="0.25">
      <c r="A75" s="67"/>
      <c r="B75" s="84" t="s">
        <v>50</v>
      </c>
      <c r="C75" s="190" t="s">
        <v>51</v>
      </c>
      <c r="D75" s="190"/>
      <c r="E75" s="190"/>
      <c r="F75" s="190"/>
      <c r="G75" s="190"/>
      <c r="H75" s="191"/>
      <c r="I75" s="192"/>
      <c r="J75" s="84" t="s">
        <v>52</v>
      </c>
      <c r="K75" s="190" t="s">
        <v>53</v>
      </c>
      <c r="L75" s="190"/>
      <c r="M75" s="190"/>
      <c r="N75" s="190"/>
      <c r="O75" s="190"/>
      <c r="P75" s="191"/>
    </row>
    <row r="76" spans="1:26" s="65" customFormat="1" ht="28.5" customHeight="1" thickBot="1" x14ac:dyDescent="0.25">
      <c r="B76" s="85" t="s">
        <v>54</v>
      </c>
      <c r="C76" s="194" t="s">
        <v>55</v>
      </c>
      <c r="D76" s="194"/>
      <c r="E76" s="194"/>
      <c r="F76" s="194"/>
      <c r="G76" s="194"/>
      <c r="H76" s="195"/>
      <c r="I76" s="193"/>
      <c r="J76" s="85" t="s">
        <v>56</v>
      </c>
      <c r="K76" s="194" t="s">
        <v>57</v>
      </c>
      <c r="L76" s="194"/>
      <c r="M76" s="194"/>
      <c r="N76" s="194"/>
      <c r="O76" s="194"/>
      <c r="P76" s="195"/>
    </row>
    <row r="77" spans="1:26" s="5" customFormat="1" ht="13.5" customHeight="1" x14ac:dyDescent="0.25">
      <c r="A77" s="68"/>
      <c r="B77" s="196"/>
      <c r="C77" s="199"/>
      <c r="D77" s="201"/>
      <c r="E77" s="201"/>
      <c r="F77" s="69" t="s">
        <v>44</v>
      </c>
      <c r="G77" s="69">
        <v>0.01</v>
      </c>
      <c r="H77" s="70"/>
      <c r="I77" s="71"/>
      <c r="J77" s="72"/>
      <c r="K77" s="202"/>
      <c r="L77" s="182"/>
      <c r="M77" s="185"/>
      <c r="N77" s="182"/>
      <c r="O77" s="182"/>
      <c r="P77" s="18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spans="1:26" s="5" customFormat="1" ht="13.5" customHeight="1" x14ac:dyDescent="0.25">
      <c r="A78" s="68"/>
      <c r="B78" s="197"/>
      <c r="C78" s="183"/>
      <c r="D78" s="183"/>
      <c r="E78" s="183"/>
      <c r="F78" s="73" t="s">
        <v>58</v>
      </c>
      <c r="G78" s="74">
        <f>+E77*0.1</f>
        <v>0</v>
      </c>
      <c r="H78" s="75"/>
      <c r="I78" s="76"/>
      <c r="J78" s="77"/>
      <c r="K78" s="183"/>
      <c r="L78" s="183"/>
      <c r="M78" s="183"/>
      <c r="N78" s="183"/>
      <c r="O78" s="183"/>
      <c r="P78" s="187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spans="1:26" s="5" customFormat="1" ht="13.5" customHeight="1" x14ac:dyDescent="0.25">
      <c r="A79" s="68"/>
      <c r="B79" s="197"/>
      <c r="C79" s="183"/>
      <c r="D79" s="183"/>
      <c r="E79" s="183"/>
      <c r="F79" s="73" t="s">
        <v>59</v>
      </c>
      <c r="G79" s="74">
        <f>+E77*0.2</f>
        <v>0</v>
      </c>
      <c r="H79" s="75"/>
      <c r="I79" s="76"/>
      <c r="J79" s="77"/>
      <c r="K79" s="183"/>
      <c r="L79" s="183"/>
      <c r="M79" s="183"/>
      <c r="N79" s="183"/>
      <c r="O79" s="183"/>
      <c r="P79" s="187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spans="1:26" s="5" customFormat="1" ht="13.5" customHeight="1" x14ac:dyDescent="0.25">
      <c r="A80" s="68"/>
      <c r="B80" s="197"/>
      <c r="C80" s="183"/>
      <c r="D80" s="183"/>
      <c r="E80" s="183"/>
      <c r="F80" s="73" t="s">
        <v>60</v>
      </c>
      <c r="G80" s="74">
        <f>+E77*0.3</f>
        <v>0</v>
      </c>
      <c r="H80" s="75"/>
      <c r="I80" s="76"/>
      <c r="J80" s="77"/>
      <c r="K80" s="183"/>
      <c r="L80" s="183"/>
      <c r="M80" s="183"/>
      <c r="N80" s="183"/>
      <c r="O80" s="183"/>
      <c r="P80" s="187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spans="1:26" s="5" customFormat="1" ht="13.5" customHeight="1" x14ac:dyDescent="0.25">
      <c r="A81" s="68"/>
      <c r="B81" s="197"/>
      <c r="C81" s="200"/>
      <c r="D81" s="200"/>
      <c r="E81" s="183"/>
      <c r="F81" s="73" t="s">
        <v>61</v>
      </c>
      <c r="G81" s="74">
        <f>+E77*0.4</f>
        <v>0</v>
      </c>
      <c r="H81" s="75"/>
      <c r="I81" s="76"/>
      <c r="J81" s="77"/>
      <c r="K81" s="183"/>
      <c r="L81" s="183"/>
      <c r="M81" s="183"/>
      <c r="N81" s="183"/>
      <c r="O81" s="183"/>
      <c r="P81" s="187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spans="1:26" s="5" customFormat="1" ht="13.5" customHeight="1" x14ac:dyDescent="0.25">
      <c r="A82" s="68"/>
      <c r="B82" s="197"/>
      <c r="C82" s="188"/>
      <c r="D82" s="189"/>
      <c r="E82" s="183"/>
      <c r="F82" s="73" t="s">
        <v>62</v>
      </c>
      <c r="G82" s="74">
        <f>+E77*0.5</f>
        <v>0</v>
      </c>
      <c r="H82" s="75"/>
      <c r="I82" s="76"/>
      <c r="J82" s="77"/>
      <c r="K82" s="183"/>
      <c r="L82" s="183"/>
      <c r="M82" s="183"/>
      <c r="N82" s="183"/>
      <c r="O82" s="183"/>
      <c r="P82" s="187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spans="1:26" s="5" customFormat="1" ht="13.5" customHeight="1" x14ac:dyDescent="0.25">
      <c r="A83" s="68"/>
      <c r="B83" s="197"/>
      <c r="C83" s="183"/>
      <c r="D83" s="183"/>
      <c r="E83" s="183"/>
      <c r="F83" s="73" t="s">
        <v>63</v>
      </c>
      <c r="G83" s="74">
        <f>+E77*0.6</f>
        <v>0</v>
      </c>
      <c r="H83" s="75"/>
      <c r="I83" s="76"/>
      <c r="J83" s="77"/>
      <c r="K83" s="183"/>
      <c r="L83" s="183"/>
      <c r="M83" s="183"/>
      <c r="N83" s="183"/>
      <c r="O83" s="183"/>
      <c r="P83" s="187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spans="1:26" s="5" customFormat="1" ht="13.5" customHeight="1" x14ac:dyDescent="0.25">
      <c r="A84" s="68"/>
      <c r="B84" s="197"/>
      <c r="C84" s="183"/>
      <c r="D84" s="183"/>
      <c r="E84" s="183"/>
      <c r="F84" s="73" t="s">
        <v>64</v>
      </c>
      <c r="G84" s="74">
        <f>+E77*0.7</f>
        <v>0</v>
      </c>
      <c r="H84" s="75"/>
      <c r="I84" s="76"/>
      <c r="J84" s="77"/>
      <c r="K84" s="183"/>
      <c r="L84" s="183"/>
      <c r="M84" s="183"/>
      <c r="N84" s="183"/>
      <c r="O84" s="183"/>
      <c r="P84" s="187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spans="1:26" s="5" customFormat="1" ht="13.5" customHeight="1" x14ac:dyDescent="0.25">
      <c r="A85" s="68"/>
      <c r="B85" s="197"/>
      <c r="C85" s="183"/>
      <c r="D85" s="183"/>
      <c r="E85" s="183"/>
      <c r="F85" s="73" t="s">
        <v>65</v>
      </c>
      <c r="G85" s="74">
        <f>+E77*0.8</f>
        <v>0</v>
      </c>
      <c r="H85" s="75"/>
      <c r="I85" s="76"/>
      <c r="J85" s="77"/>
      <c r="K85" s="183"/>
      <c r="L85" s="183"/>
      <c r="M85" s="183"/>
      <c r="N85" s="183"/>
      <c r="O85" s="183"/>
      <c r="P85" s="187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spans="1:26" s="5" customFormat="1" ht="13.5" customHeight="1" x14ac:dyDescent="0.25">
      <c r="A86" s="68"/>
      <c r="B86" s="197"/>
      <c r="C86" s="183"/>
      <c r="D86" s="183"/>
      <c r="E86" s="183"/>
      <c r="F86" s="73" t="s">
        <v>66</v>
      </c>
      <c r="G86" s="74">
        <f>+E77*0.9</f>
        <v>0</v>
      </c>
      <c r="H86" s="75"/>
      <c r="I86" s="76"/>
      <c r="J86" s="77"/>
      <c r="K86" s="183"/>
      <c r="L86" s="183"/>
      <c r="M86" s="183"/>
      <c r="N86" s="183"/>
      <c r="O86" s="183"/>
      <c r="P86" s="187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spans="1:26" s="5" customFormat="1" ht="15.75" thickBot="1" x14ac:dyDescent="0.3">
      <c r="A87" s="68"/>
      <c r="B87" s="198"/>
      <c r="C87" s="184"/>
      <c r="D87" s="184"/>
      <c r="E87" s="184"/>
      <c r="F87" s="78" t="s">
        <v>67</v>
      </c>
      <c r="G87" s="78">
        <f>+E77</f>
        <v>0</v>
      </c>
      <c r="H87" s="79"/>
      <c r="I87" s="80"/>
      <c r="J87" s="81"/>
      <c r="K87" s="184"/>
      <c r="L87" s="184"/>
      <c r="M87" s="184"/>
      <c r="N87" s="184"/>
      <c r="O87" s="183"/>
      <c r="P87" s="187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spans="1:26" s="5" customFormat="1" ht="15" customHeight="1" x14ac:dyDescent="0.25">
      <c r="A88" s="68"/>
      <c r="B88" s="170" t="s">
        <v>68</v>
      </c>
      <c r="C88" s="170"/>
      <c r="D88" s="170"/>
      <c r="E88" s="170"/>
      <c r="F88" s="170"/>
      <c r="G88" s="170"/>
      <c r="H88" s="170"/>
      <c r="I88" s="170"/>
      <c r="J88" s="170"/>
      <c r="K88" s="93">
        <f>ROUND(+M88/L88,3)</f>
        <v>0.23699999999999999</v>
      </c>
      <c r="L88" s="94">
        <f>SUM(L19:L87)</f>
        <v>0.44900000000000007</v>
      </c>
      <c r="M88" s="94">
        <f>SUM(M19:M87)</f>
        <v>0.10659999999999999</v>
      </c>
      <c r="N88" s="95">
        <f>ROUND(SUM(N19:N87),0)</f>
        <v>100</v>
      </c>
      <c r="O88" s="172" t="s">
        <v>69</v>
      </c>
      <c r="P88" s="174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spans="1:26" s="5" customFormat="1" ht="15.75" thickBot="1" x14ac:dyDescent="0.3">
      <c r="A89" s="82"/>
      <c r="B89" s="171"/>
      <c r="C89" s="171"/>
      <c r="D89" s="171"/>
      <c r="E89" s="171"/>
      <c r="F89" s="171"/>
      <c r="G89" s="171"/>
      <c r="H89" s="171"/>
      <c r="I89" s="171"/>
      <c r="J89" s="171"/>
      <c r="K89" s="96" t="s">
        <v>70</v>
      </c>
      <c r="L89" s="97" t="s">
        <v>102</v>
      </c>
      <c r="M89" s="97" t="s">
        <v>103</v>
      </c>
      <c r="N89" s="98" t="s">
        <v>71</v>
      </c>
      <c r="O89" s="173"/>
      <c r="P89" s="175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spans="1:26" ht="15" customHeight="1" thickBot="1" x14ac:dyDescent="0.3">
      <c r="A90" s="86"/>
      <c r="B90" s="176" t="s">
        <v>72</v>
      </c>
      <c r="C90" s="177"/>
      <c r="D90" s="177"/>
      <c r="E90" s="177"/>
      <c r="F90" s="178"/>
      <c r="G90" s="176" t="s">
        <v>73</v>
      </c>
      <c r="H90" s="177"/>
      <c r="I90" s="177"/>
      <c r="J90" s="177"/>
      <c r="K90" s="178"/>
      <c r="L90" s="179" t="s">
        <v>105</v>
      </c>
      <c r="M90" s="180"/>
      <c r="N90" s="180"/>
      <c r="O90" s="180"/>
      <c r="P90" s="181"/>
    </row>
    <row r="91" spans="1:26" ht="15" customHeight="1" x14ac:dyDescent="0.25">
      <c r="A91" s="86"/>
      <c r="B91" s="136"/>
      <c r="C91" s="137"/>
      <c r="D91" s="137"/>
      <c r="E91" s="137"/>
      <c r="F91" s="138"/>
      <c r="G91" s="136"/>
      <c r="H91" s="137"/>
      <c r="I91" s="137"/>
      <c r="J91" s="137"/>
      <c r="K91" s="138"/>
      <c r="L91" s="145" t="s">
        <v>74</v>
      </c>
      <c r="M91" s="146"/>
      <c r="N91" s="147"/>
      <c r="O91" s="148">
        <f>+AVERAGE(E18:E68)</f>
        <v>0.23299999999999996</v>
      </c>
      <c r="P91" s="149"/>
    </row>
    <row r="92" spans="1:26" ht="15" customHeight="1" thickBot="1" x14ac:dyDescent="0.3">
      <c r="A92" s="86"/>
      <c r="B92" s="139"/>
      <c r="C92" s="140"/>
      <c r="D92" s="140"/>
      <c r="E92" s="140"/>
      <c r="F92" s="141"/>
      <c r="G92" s="139"/>
      <c r="H92" s="140"/>
      <c r="I92" s="140"/>
      <c r="J92" s="140"/>
      <c r="K92" s="141"/>
      <c r="L92" s="150" t="s">
        <v>75</v>
      </c>
      <c r="M92" s="151"/>
      <c r="N92" s="152"/>
      <c r="O92" s="153">
        <f>+MAX(E18:E68)</f>
        <v>0.39</v>
      </c>
      <c r="P92" s="154"/>
    </row>
    <row r="93" spans="1:26" ht="18.600000000000001" customHeight="1" x14ac:dyDescent="0.25">
      <c r="A93" s="87"/>
      <c r="B93" s="139"/>
      <c r="C93" s="140"/>
      <c r="D93" s="140"/>
      <c r="E93" s="140"/>
      <c r="F93" s="141"/>
      <c r="G93" s="139"/>
      <c r="H93" s="140"/>
      <c r="I93" s="140"/>
      <c r="J93" s="140"/>
      <c r="K93" s="141"/>
      <c r="L93" s="155"/>
      <c r="M93" s="156"/>
      <c r="N93" s="156"/>
      <c r="O93" s="156"/>
      <c r="P93" s="157"/>
    </row>
    <row r="94" spans="1:26" ht="75" customHeight="1" x14ac:dyDescent="0.25">
      <c r="A94" s="92"/>
      <c r="B94" s="139"/>
      <c r="C94" s="140"/>
      <c r="D94" s="140"/>
      <c r="E94" s="140"/>
      <c r="F94" s="141"/>
      <c r="G94" s="139"/>
      <c r="H94" s="140"/>
      <c r="I94" s="140"/>
      <c r="J94" s="140"/>
      <c r="K94" s="141"/>
      <c r="L94" s="158"/>
      <c r="M94" s="159"/>
      <c r="N94" s="159"/>
      <c r="O94" s="159"/>
      <c r="P94" s="160"/>
    </row>
    <row r="95" spans="1:26" ht="15" customHeight="1" thickBot="1" x14ac:dyDescent="0.3">
      <c r="A95" s="86"/>
      <c r="B95" s="139"/>
      <c r="C95" s="140"/>
      <c r="D95" s="140"/>
      <c r="E95" s="140"/>
      <c r="F95" s="141"/>
      <c r="G95" s="139"/>
      <c r="H95" s="140"/>
      <c r="I95" s="140"/>
      <c r="J95" s="140"/>
      <c r="K95" s="141"/>
      <c r="L95" s="161"/>
      <c r="M95" s="162"/>
      <c r="N95" s="162"/>
      <c r="O95" s="162"/>
      <c r="P95" s="163"/>
    </row>
    <row r="96" spans="1:26" ht="15.75" customHeight="1" thickBot="1" x14ac:dyDescent="0.3">
      <c r="A96" s="86"/>
      <c r="B96" s="139"/>
      <c r="C96" s="140"/>
      <c r="D96" s="140"/>
      <c r="E96" s="140"/>
      <c r="F96" s="141"/>
      <c r="G96" s="139"/>
      <c r="H96" s="140"/>
      <c r="I96" s="140"/>
      <c r="J96" s="140"/>
      <c r="K96" s="141"/>
      <c r="L96" s="164" t="s">
        <v>76</v>
      </c>
      <c r="M96" s="165"/>
      <c r="N96" s="165"/>
      <c r="O96" s="166"/>
      <c r="P96" s="88">
        <v>13.3</v>
      </c>
    </row>
    <row r="97" spans="1:16" ht="14.45" customHeight="1" thickBot="1" x14ac:dyDescent="0.3">
      <c r="A97" s="86"/>
      <c r="B97" s="142"/>
      <c r="C97" s="143"/>
      <c r="D97" s="143"/>
      <c r="E97" s="143"/>
      <c r="F97" s="144"/>
      <c r="G97" s="142"/>
      <c r="H97" s="143"/>
      <c r="I97" s="143"/>
      <c r="J97" s="143"/>
      <c r="K97" s="144"/>
      <c r="L97" s="167" t="s">
        <v>104</v>
      </c>
      <c r="M97" s="168"/>
      <c r="N97" s="168"/>
      <c r="O97" s="169"/>
      <c r="P97" s="88">
        <v>1.1599999999999999</v>
      </c>
    </row>
    <row r="98" spans="1:16" ht="23.45" customHeight="1" thickBot="1" x14ac:dyDescent="0.3">
      <c r="A98" s="89"/>
      <c r="B98" s="315"/>
      <c r="C98" s="315"/>
      <c r="D98" s="315"/>
      <c r="E98" s="315"/>
      <c r="F98" s="315"/>
      <c r="G98" s="315"/>
      <c r="H98" s="315"/>
      <c r="I98" s="315"/>
      <c r="J98" s="315"/>
      <c r="K98" s="315"/>
      <c r="L98" s="315"/>
      <c r="M98" s="315"/>
      <c r="N98" s="315"/>
      <c r="O98" s="315"/>
      <c r="P98" s="315"/>
    </row>
    <row r="99" spans="1:16" ht="15.75" thickBot="1" x14ac:dyDescent="0.3">
      <c r="A99" s="125" t="s">
        <v>77</v>
      </c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7"/>
    </row>
    <row r="100" spans="1:16" ht="180" customHeight="1" thickBot="1" x14ac:dyDescent="0.3">
      <c r="A100" s="83"/>
      <c r="B100" s="128"/>
      <c r="C100" s="129"/>
      <c r="D100" s="129"/>
      <c r="E100" s="129"/>
      <c r="F100" s="129"/>
      <c r="G100" s="129"/>
      <c r="H100" s="130"/>
      <c r="I100" s="128"/>
      <c r="J100" s="129"/>
      <c r="K100" s="129"/>
      <c r="L100" s="129"/>
      <c r="M100" s="129"/>
      <c r="N100" s="129"/>
      <c r="O100" s="129"/>
      <c r="P100" s="131"/>
    </row>
    <row r="101" spans="1:16" s="91" customFormat="1" ht="21.75" customHeight="1" thickBot="1" x14ac:dyDescent="0.3">
      <c r="A101" s="99"/>
      <c r="B101" s="316" t="s">
        <v>117</v>
      </c>
      <c r="C101" s="317"/>
      <c r="D101" s="317"/>
      <c r="E101" s="317"/>
      <c r="F101" s="317"/>
      <c r="G101" s="317"/>
      <c r="H101" s="318"/>
      <c r="I101" s="132" t="s">
        <v>106</v>
      </c>
      <c r="J101" s="133"/>
      <c r="K101" s="133"/>
      <c r="L101" s="133"/>
      <c r="M101" s="133"/>
      <c r="N101" s="133"/>
      <c r="O101" s="133"/>
      <c r="P101" s="135"/>
    </row>
    <row r="102" spans="1:16" s="91" customFormat="1" ht="16.899999999999999" customHeight="1" thickBot="1" x14ac:dyDescent="0.3">
      <c r="A102" s="90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20"/>
    </row>
    <row r="103" spans="1:16" s="65" customFormat="1" ht="15.75" customHeight="1" thickBot="1" x14ac:dyDescent="0.25">
      <c r="A103" s="121" t="s">
        <v>78</v>
      </c>
      <c r="B103" s="122"/>
      <c r="C103" s="122"/>
      <c r="D103" s="122"/>
      <c r="E103" s="122"/>
      <c r="F103" s="122"/>
      <c r="G103" s="122"/>
      <c r="H103" s="122"/>
      <c r="I103" s="122"/>
      <c r="J103" s="122" t="s">
        <v>79</v>
      </c>
      <c r="K103" s="122"/>
      <c r="L103" s="122"/>
      <c r="M103" s="122"/>
      <c r="N103" s="122"/>
      <c r="O103" s="122"/>
      <c r="P103" s="123"/>
    </row>
  </sheetData>
  <mergeCells count="203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64:M68"/>
    <mergeCell ref="N64:N68"/>
    <mergeCell ref="O64:O68"/>
    <mergeCell ref="P64:P68"/>
    <mergeCell ref="B69:B74"/>
    <mergeCell ref="C69:P74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C75:H75"/>
    <mergeCell ref="I75:I76"/>
    <mergeCell ref="K75:P75"/>
    <mergeCell ref="C76:H76"/>
    <mergeCell ref="K76:P76"/>
    <mergeCell ref="B77:B87"/>
    <mergeCell ref="C77:C81"/>
    <mergeCell ref="D77:D81"/>
    <mergeCell ref="E77:E87"/>
    <mergeCell ref="K77:K87"/>
    <mergeCell ref="B88:J89"/>
    <mergeCell ref="O88:O89"/>
    <mergeCell ref="P88:P89"/>
    <mergeCell ref="B90:F90"/>
    <mergeCell ref="G90:K90"/>
    <mergeCell ref="L90:P90"/>
    <mergeCell ref="L77:L87"/>
    <mergeCell ref="M77:M87"/>
    <mergeCell ref="N77:N87"/>
    <mergeCell ref="O77:O87"/>
    <mergeCell ref="P77:P87"/>
    <mergeCell ref="C82:C87"/>
    <mergeCell ref="D82:D87"/>
    <mergeCell ref="B91:F97"/>
    <mergeCell ref="G91:K97"/>
    <mergeCell ref="L91:N91"/>
    <mergeCell ref="O91:P91"/>
    <mergeCell ref="L92:N92"/>
    <mergeCell ref="O92:P92"/>
    <mergeCell ref="L93:P95"/>
    <mergeCell ref="L96:O96"/>
    <mergeCell ref="L97:O97"/>
    <mergeCell ref="B102:P102"/>
    <mergeCell ref="A103:C103"/>
    <mergeCell ref="D103:I103"/>
    <mergeCell ref="J103:K103"/>
    <mergeCell ref="L103:P103"/>
    <mergeCell ref="B98:P98"/>
    <mergeCell ref="A99:P99"/>
    <mergeCell ref="B100:H100"/>
    <mergeCell ref="I100:P100"/>
    <mergeCell ref="B101:H101"/>
    <mergeCell ref="I101:P101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Z118"/>
  <sheetViews>
    <sheetView tabSelected="1" view="pageBreakPreview" zoomScale="90" zoomScaleSheetLayoutView="90" zoomScalePageLayoutView="110" workbookViewId="0">
      <selection activeCell="H5" sqref="H5:P5"/>
    </sheetView>
  </sheetViews>
  <sheetFormatPr baseColWidth="10" defaultColWidth="11.42578125" defaultRowHeight="15" x14ac:dyDescent="0.25"/>
  <cols>
    <col min="1" max="1" width="0.140625" customWidth="1"/>
    <col min="2" max="2" width="9.5703125" customWidth="1"/>
    <col min="3" max="16" width="10.7109375" customWidth="1"/>
  </cols>
  <sheetData>
    <row r="1" spans="1:26" ht="4.9000000000000004" customHeight="1" thickBot="1" x14ac:dyDescent="0.3">
      <c r="J1" s="1"/>
    </row>
    <row r="2" spans="1:26" s="4" customFormat="1" ht="30" customHeight="1" x14ac:dyDescent="0.25">
      <c r="A2" s="100"/>
      <c r="B2" s="354"/>
      <c r="C2" s="355"/>
      <c r="D2" s="356"/>
      <c r="E2" s="337" t="s">
        <v>120</v>
      </c>
      <c r="F2" s="338"/>
      <c r="G2" s="338"/>
      <c r="H2" s="338"/>
      <c r="I2" s="338"/>
      <c r="J2" s="338"/>
      <c r="K2" s="338"/>
      <c r="L2" s="338"/>
      <c r="M2" s="338"/>
      <c r="N2" s="338"/>
      <c r="O2" s="357"/>
      <c r="P2" s="341"/>
    </row>
    <row r="3" spans="1:26" s="4" customFormat="1" ht="20.45" customHeight="1" thickBot="1" x14ac:dyDescent="0.3">
      <c r="A3" s="100"/>
      <c r="B3" s="358"/>
      <c r="C3" s="359"/>
      <c r="D3" s="360"/>
      <c r="E3" s="339"/>
      <c r="F3" s="340"/>
      <c r="G3" s="340"/>
      <c r="H3" s="340"/>
      <c r="I3" s="340"/>
      <c r="J3" s="340"/>
      <c r="K3" s="340"/>
      <c r="L3" s="340"/>
      <c r="M3" s="340"/>
      <c r="N3" s="340"/>
      <c r="O3" s="361"/>
      <c r="P3" s="342"/>
    </row>
    <row r="4" spans="1:26" s="5" customFormat="1" ht="4.5" customHeight="1" thickBot="1" x14ac:dyDescent="0.3">
      <c r="A4" s="3"/>
      <c r="B4" s="309"/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s="12" customFormat="1" ht="28.5" customHeight="1" thickBot="1" x14ac:dyDescent="0.3">
      <c r="A5" s="6"/>
      <c r="B5" s="7" t="s">
        <v>0</v>
      </c>
      <c r="C5" s="310">
        <v>43155</v>
      </c>
      <c r="D5" s="311"/>
      <c r="E5" s="8" t="s">
        <v>1</v>
      </c>
      <c r="F5" s="9">
        <v>4</v>
      </c>
      <c r="G5" s="10" t="s">
        <v>2</v>
      </c>
      <c r="H5" s="312" t="s">
        <v>122</v>
      </c>
      <c r="I5" s="313"/>
      <c r="J5" s="313"/>
      <c r="K5" s="313"/>
      <c r="L5" s="313"/>
      <c r="M5" s="313"/>
      <c r="N5" s="313"/>
      <c r="O5" s="313"/>
      <c r="P5" s="314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s="17" customFormat="1" ht="23.25" customHeight="1" thickBot="1" x14ac:dyDescent="0.3">
      <c r="A6" s="13"/>
      <c r="B6" s="293" t="s">
        <v>3</v>
      </c>
      <c r="C6" s="294"/>
      <c r="D6" s="295" t="s">
        <v>107</v>
      </c>
      <c r="E6" s="296"/>
      <c r="F6" s="296"/>
      <c r="G6" s="296"/>
      <c r="H6" s="296"/>
      <c r="I6" s="297"/>
      <c r="J6" s="14" t="s">
        <v>4</v>
      </c>
      <c r="K6" s="298" t="s">
        <v>109</v>
      </c>
      <c r="L6" s="297"/>
      <c r="M6" s="298" t="s">
        <v>108</v>
      </c>
      <c r="N6" s="299"/>
      <c r="O6" s="15" t="s">
        <v>5</v>
      </c>
      <c r="P6" s="16">
        <v>1832</v>
      </c>
    </row>
    <row r="7" spans="1:26" s="12" customFormat="1" ht="30.75" customHeight="1" x14ac:dyDescent="0.25">
      <c r="B7" s="300" t="s">
        <v>6</v>
      </c>
      <c r="C7" s="301" t="s">
        <v>7</v>
      </c>
      <c r="D7" s="271"/>
      <c r="E7" s="18"/>
      <c r="F7" s="302" t="s">
        <v>8</v>
      </c>
      <c r="G7" s="303"/>
      <c r="H7" s="303"/>
      <c r="I7" s="303"/>
      <c r="J7" s="304" t="s">
        <v>9</v>
      </c>
      <c r="K7" s="305"/>
      <c r="L7" s="305"/>
      <c r="M7" s="306"/>
      <c r="N7" s="307" t="s">
        <v>82</v>
      </c>
      <c r="O7" s="308"/>
      <c r="P7" s="19" t="s">
        <v>10</v>
      </c>
    </row>
    <row r="8" spans="1:26" s="12" customFormat="1" ht="16.5" thickBot="1" x14ac:dyDescent="0.3">
      <c r="B8" s="245"/>
      <c r="C8" s="262" t="s">
        <v>11</v>
      </c>
      <c r="D8" s="261"/>
      <c r="E8" s="20" t="s">
        <v>12</v>
      </c>
      <c r="F8" s="272" t="s">
        <v>13</v>
      </c>
      <c r="G8" s="273"/>
      <c r="H8" s="273"/>
      <c r="I8" s="273"/>
      <c r="J8" s="274"/>
      <c r="K8" s="275"/>
      <c r="L8" s="275"/>
      <c r="M8" s="276"/>
      <c r="N8" s="277"/>
      <c r="O8" s="278"/>
      <c r="P8" s="21"/>
    </row>
    <row r="9" spans="1:26" s="12" customFormat="1" ht="14.25" customHeight="1" x14ac:dyDescent="0.25">
      <c r="B9" s="279" t="s">
        <v>14</v>
      </c>
      <c r="C9" s="282" t="s">
        <v>15</v>
      </c>
      <c r="D9" s="283" t="s">
        <v>16</v>
      </c>
      <c r="E9" s="268"/>
      <c r="F9" s="22"/>
      <c r="G9" s="284" t="s">
        <v>17</v>
      </c>
      <c r="H9" s="285" t="s">
        <v>18</v>
      </c>
      <c r="I9" s="271"/>
      <c r="J9" s="23"/>
      <c r="K9" s="282" t="s">
        <v>19</v>
      </c>
      <c r="L9" s="286" t="s">
        <v>83</v>
      </c>
      <c r="M9" s="287"/>
      <c r="N9" s="288"/>
      <c r="O9" s="288"/>
      <c r="P9" s="289"/>
    </row>
    <row r="10" spans="1:26" s="12" customFormat="1" ht="16.5" thickBot="1" x14ac:dyDescent="0.3">
      <c r="B10" s="280"/>
      <c r="C10" s="225"/>
      <c r="D10" s="266" t="s">
        <v>21</v>
      </c>
      <c r="E10" s="261"/>
      <c r="F10" s="24" t="s">
        <v>12</v>
      </c>
      <c r="G10" s="225"/>
      <c r="H10" s="266" t="s">
        <v>22</v>
      </c>
      <c r="I10" s="261"/>
      <c r="J10" s="25" t="s">
        <v>12</v>
      </c>
      <c r="K10" s="225"/>
      <c r="L10" s="290"/>
      <c r="M10" s="291"/>
      <c r="N10" s="291"/>
      <c r="O10" s="291"/>
      <c r="P10" s="292"/>
    </row>
    <row r="11" spans="1:26" s="12" customFormat="1" ht="25.5" customHeight="1" x14ac:dyDescent="0.25">
      <c r="A11" s="6"/>
      <c r="B11" s="280"/>
      <c r="C11" s="267" t="s">
        <v>23</v>
      </c>
      <c r="D11" s="268"/>
      <c r="E11" s="108">
        <v>0.3611111111111111</v>
      </c>
      <c r="F11" s="269" t="s">
        <v>24</v>
      </c>
      <c r="G11" s="268"/>
      <c r="H11" s="27">
        <v>1.1399999999999999</v>
      </c>
      <c r="I11" s="270" t="s">
        <v>25</v>
      </c>
      <c r="J11" s="271"/>
      <c r="K11" s="27">
        <v>16</v>
      </c>
      <c r="L11" s="267" t="s">
        <v>26</v>
      </c>
      <c r="M11" s="268"/>
      <c r="N11" s="28" t="s">
        <v>118</v>
      </c>
      <c r="O11" s="258" t="s">
        <v>84</v>
      </c>
      <c r="P11" s="259"/>
    </row>
    <row r="12" spans="1:26" s="12" customFormat="1" ht="18.75" customHeight="1" thickBot="1" x14ac:dyDescent="0.3">
      <c r="A12" s="6"/>
      <c r="B12" s="281"/>
      <c r="C12" s="260" t="s">
        <v>27</v>
      </c>
      <c r="D12" s="261"/>
      <c r="E12" s="108">
        <v>0.4152777777777778</v>
      </c>
      <c r="F12" s="262" t="s">
        <v>28</v>
      </c>
      <c r="G12" s="261"/>
      <c r="H12" s="27">
        <v>1.1499999999999999</v>
      </c>
      <c r="I12" s="263" t="s">
        <v>29</v>
      </c>
      <c r="J12" s="261"/>
      <c r="K12" s="26">
        <v>0.35416666666666669</v>
      </c>
      <c r="L12" s="260" t="s">
        <v>30</v>
      </c>
      <c r="M12" s="261"/>
      <c r="N12" s="29">
        <v>0.2</v>
      </c>
      <c r="O12" s="264">
        <v>0.2</v>
      </c>
      <c r="P12" s="265"/>
    </row>
    <row r="13" spans="1:26" s="12" customFormat="1" ht="21" customHeight="1" x14ac:dyDescent="0.25">
      <c r="A13" s="6"/>
      <c r="B13" s="243" t="s">
        <v>31</v>
      </c>
      <c r="C13" s="246" t="s">
        <v>85</v>
      </c>
      <c r="D13" s="247"/>
      <c r="E13" s="247"/>
      <c r="F13" s="248" t="s">
        <v>86</v>
      </c>
      <c r="G13" s="247"/>
      <c r="H13" s="247"/>
      <c r="I13" s="247"/>
      <c r="J13" s="248" t="s">
        <v>87</v>
      </c>
      <c r="K13" s="247"/>
      <c r="L13" s="247"/>
      <c r="M13" s="247"/>
      <c r="N13" s="249" t="s">
        <v>88</v>
      </c>
      <c r="O13" s="247"/>
      <c r="P13" s="250"/>
      <c r="Q13" s="30"/>
      <c r="R13" s="11"/>
      <c r="S13" s="11"/>
      <c r="T13" s="11"/>
      <c r="U13" s="11"/>
      <c r="V13" s="11"/>
      <c r="W13" s="11"/>
      <c r="X13" s="11"/>
      <c r="Y13" s="11"/>
      <c r="Z13" s="11"/>
    </row>
    <row r="14" spans="1:26" s="12" customFormat="1" ht="21" customHeight="1" x14ac:dyDescent="0.25">
      <c r="A14" s="6"/>
      <c r="B14" s="244"/>
      <c r="C14" s="251" t="s">
        <v>89</v>
      </c>
      <c r="D14" s="252"/>
      <c r="E14" s="252"/>
      <c r="F14" s="253" t="s">
        <v>90</v>
      </c>
      <c r="G14" s="252"/>
      <c r="H14" s="252"/>
      <c r="I14" s="252"/>
      <c r="J14" s="254" t="s">
        <v>91</v>
      </c>
      <c r="K14" s="252"/>
      <c r="L14" s="252"/>
      <c r="M14" s="252"/>
      <c r="N14" s="255"/>
      <c r="O14" s="240"/>
      <c r="P14" s="256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s="12" customFormat="1" ht="21" customHeight="1" thickBot="1" x14ac:dyDescent="0.3">
      <c r="A15" s="6"/>
      <c r="B15" s="245"/>
      <c r="C15" s="257" t="s">
        <v>92</v>
      </c>
      <c r="D15" s="227"/>
      <c r="E15" s="227"/>
      <c r="F15" s="227" t="s">
        <v>93</v>
      </c>
      <c r="G15" s="228"/>
      <c r="H15" s="228"/>
      <c r="I15" s="228"/>
      <c r="J15" s="227" t="s">
        <v>32</v>
      </c>
      <c r="K15" s="228"/>
      <c r="L15" s="228"/>
      <c r="M15" s="228"/>
      <c r="N15" s="229"/>
      <c r="O15" s="230"/>
      <c r="P15" s="23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s="12" customFormat="1" ht="16.5" customHeight="1" x14ac:dyDescent="0.25">
      <c r="A16" s="6"/>
      <c r="B16" s="232" t="s">
        <v>33</v>
      </c>
      <c r="C16" s="234" t="s">
        <v>34</v>
      </c>
      <c r="D16" s="234" t="s">
        <v>94</v>
      </c>
      <c r="E16" s="236" t="s">
        <v>35</v>
      </c>
      <c r="F16" s="237" t="s">
        <v>95</v>
      </c>
      <c r="G16" s="238"/>
      <c r="H16" s="234" t="s">
        <v>36</v>
      </c>
      <c r="I16" s="241" t="s">
        <v>37</v>
      </c>
      <c r="J16" s="31" t="s">
        <v>96</v>
      </c>
      <c r="K16" s="32"/>
      <c r="L16" s="33" t="s">
        <v>97</v>
      </c>
      <c r="M16" s="33" t="s">
        <v>98</v>
      </c>
      <c r="N16" s="33" t="s">
        <v>98</v>
      </c>
      <c r="O16" s="33" t="s">
        <v>99</v>
      </c>
      <c r="P16" s="34" t="s">
        <v>38</v>
      </c>
    </row>
    <row r="17" spans="1:26" s="12" customFormat="1" ht="13.5" customHeight="1" thickBot="1" x14ac:dyDescent="0.3">
      <c r="A17" s="35"/>
      <c r="B17" s="233"/>
      <c r="C17" s="235"/>
      <c r="D17" s="235"/>
      <c r="E17" s="235"/>
      <c r="F17" s="239"/>
      <c r="G17" s="240"/>
      <c r="H17" s="235"/>
      <c r="I17" s="242"/>
      <c r="J17" s="36" t="s">
        <v>39</v>
      </c>
      <c r="K17" s="37" t="s">
        <v>40</v>
      </c>
      <c r="L17" s="37" t="s">
        <v>100</v>
      </c>
      <c r="M17" s="37" t="s">
        <v>101</v>
      </c>
      <c r="N17" s="37" t="s">
        <v>41</v>
      </c>
      <c r="O17" s="37" t="s">
        <v>42</v>
      </c>
      <c r="P17" s="38" t="s">
        <v>43</v>
      </c>
    </row>
    <row r="18" spans="1:26" s="47" customFormat="1" ht="13.5" customHeight="1" thickBot="1" x14ac:dyDescent="0.3">
      <c r="A18" s="39"/>
      <c r="B18" s="40"/>
      <c r="C18" s="41">
        <f>+O12</f>
        <v>0.2</v>
      </c>
      <c r="D18" s="41">
        <v>0.45</v>
      </c>
      <c r="E18" s="42"/>
      <c r="F18" s="43"/>
      <c r="G18" s="48"/>
      <c r="H18" s="44"/>
      <c r="I18" s="45"/>
      <c r="J18" s="49"/>
      <c r="K18" s="42"/>
      <c r="L18" s="42"/>
      <c r="M18" s="42"/>
      <c r="N18" s="42"/>
      <c r="O18" s="42"/>
      <c r="P18" s="46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 spans="1:26" s="47" customFormat="1" ht="13.5" customHeight="1" x14ac:dyDescent="0.25">
      <c r="A19" s="39"/>
      <c r="B19" s="223">
        <v>1</v>
      </c>
      <c r="C19" s="226">
        <f>+C18+$N$12</f>
        <v>0.4</v>
      </c>
      <c r="D19" s="203">
        <v>0.44</v>
      </c>
      <c r="E19" s="203">
        <v>0.38500000000000001</v>
      </c>
      <c r="F19" s="50" t="s">
        <v>44</v>
      </c>
      <c r="G19" s="51">
        <v>0</v>
      </c>
      <c r="H19" s="52"/>
      <c r="I19" s="53"/>
      <c r="J19" s="54">
        <v>0.438</v>
      </c>
      <c r="K19" s="203">
        <f>+IF(E19&lt;=0.12,(J21),(IF(E19&lt;0.16,((J20+2*J21+J22)/4),IF(E19&gt;=0.16,((J19+3*J20+2*J21+3*J22+J23)/10)))))</f>
        <v>1.0437999999999998</v>
      </c>
      <c r="L19" s="203">
        <f>ROUND(+(D18+D19)/2*(C19-C18),3)</f>
        <v>8.8999999999999996E-2</v>
      </c>
      <c r="M19" s="203">
        <f>ROUND(+K19*L19,4)</f>
        <v>9.2899999999999996E-2</v>
      </c>
      <c r="N19" s="206">
        <f>ROUND(+M19/$M$103*100,2)</f>
        <v>18.71</v>
      </c>
      <c r="O19" s="207"/>
      <c r="P19" s="208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 spans="1:26" s="47" customFormat="1" ht="13.5" customHeight="1" x14ac:dyDescent="0.25">
      <c r="A20" s="39"/>
      <c r="B20" s="224"/>
      <c r="C20" s="204"/>
      <c r="D20" s="204"/>
      <c r="E20" s="204"/>
      <c r="F20" s="55" t="s">
        <v>45</v>
      </c>
      <c r="G20" s="56">
        <f>IF(E19&lt;0.125,"NA",IF(0.125&lt;=E19,(0.2*E19)))</f>
        <v>7.7000000000000013E-2</v>
      </c>
      <c r="H20" s="57"/>
      <c r="I20" s="58"/>
      <c r="J20" s="59">
        <v>0.7</v>
      </c>
      <c r="K20" s="204"/>
      <c r="L20" s="204"/>
      <c r="M20" s="204"/>
      <c r="N20" s="204"/>
      <c r="O20" s="204"/>
      <c r="P20" s="20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s="47" customFormat="1" ht="13.5" customHeight="1" x14ac:dyDescent="0.25">
      <c r="A21" s="39"/>
      <c r="B21" s="224"/>
      <c r="C21" s="204"/>
      <c r="D21" s="204"/>
      <c r="E21" s="204"/>
      <c r="F21" s="55" t="s">
        <v>46</v>
      </c>
      <c r="G21" s="56">
        <f>+E19*0.4</f>
        <v>0.15400000000000003</v>
      </c>
      <c r="H21" s="57"/>
      <c r="I21" s="58"/>
      <c r="J21" s="59">
        <v>1.1120000000000001</v>
      </c>
      <c r="K21" s="204"/>
      <c r="L21" s="204"/>
      <c r="M21" s="204"/>
      <c r="N21" s="204"/>
      <c r="O21" s="204"/>
      <c r="P21" s="20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 spans="1:26" s="47" customFormat="1" ht="13.5" customHeight="1" x14ac:dyDescent="0.25">
      <c r="A22" s="39"/>
      <c r="B22" s="224"/>
      <c r="C22" s="204"/>
      <c r="D22" s="204"/>
      <c r="E22" s="204"/>
      <c r="F22" s="55" t="s">
        <v>47</v>
      </c>
      <c r="G22" s="56">
        <f>IF(E19&lt;0.125,"NA",IF(0.125&lt;=E19,(0.8*E19)))</f>
        <v>0.30800000000000005</v>
      </c>
      <c r="H22" s="57"/>
      <c r="I22" s="58"/>
      <c r="J22" s="59">
        <v>1.3839999999999999</v>
      </c>
      <c r="K22" s="204"/>
      <c r="L22" s="204"/>
      <c r="M22" s="204"/>
      <c r="N22" s="204"/>
      <c r="O22" s="204"/>
      <c r="P22" s="20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 spans="1:26" s="47" customFormat="1" ht="13.5" customHeight="1" thickBot="1" x14ac:dyDescent="0.3">
      <c r="A23" s="39"/>
      <c r="B23" s="225"/>
      <c r="C23" s="205"/>
      <c r="D23" s="205"/>
      <c r="E23" s="205"/>
      <c r="F23" s="60" t="s">
        <v>48</v>
      </c>
      <c r="G23" s="61">
        <f>+E19</f>
        <v>0.38500000000000001</v>
      </c>
      <c r="H23" s="62"/>
      <c r="I23" s="63"/>
      <c r="J23" s="64">
        <v>1.524</v>
      </c>
      <c r="K23" s="205"/>
      <c r="L23" s="205"/>
      <c r="M23" s="205"/>
      <c r="N23" s="205"/>
      <c r="O23" s="205"/>
      <c r="P23" s="210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 spans="1:26" s="47" customFormat="1" ht="13.5" customHeight="1" x14ac:dyDescent="0.25">
      <c r="A24" s="39"/>
      <c r="B24" s="223">
        <v>2</v>
      </c>
      <c r="C24" s="226">
        <f>+C19+$N$12</f>
        <v>0.60000000000000009</v>
      </c>
      <c r="D24" s="203">
        <v>0.40600000000000003</v>
      </c>
      <c r="E24" s="203">
        <v>0.38100000000000001</v>
      </c>
      <c r="F24" s="50" t="s">
        <v>44</v>
      </c>
      <c r="G24" s="51">
        <v>0</v>
      </c>
      <c r="H24" s="52"/>
      <c r="I24" s="53"/>
      <c r="J24" s="54">
        <v>0.187</v>
      </c>
      <c r="K24" s="203">
        <f>+IF(E24&lt;=0.12,(J26),(IF(E24&lt;0.16,((J25+2*J26+J27)/4),IF(E24&gt;=0.16,((J24+3*J25+2*J26+3*J27+J28)/10)))))</f>
        <v>1.2875000000000001</v>
      </c>
      <c r="L24" s="203">
        <f>ROUND(+(D19+D24)/2*(C24-C19),3)</f>
        <v>8.5000000000000006E-2</v>
      </c>
      <c r="M24" s="203">
        <f>ROUND(+K24*L24,4)</f>
        <v>0.1094</v>
      </c>
      <c r="N24" s="206">
        <f>ROUND(+M24/$M$103*100,2)</f>
        <v>22.03</v>
      </c>
      <c r="O24" s="207"/>
      <c r="P24" s="208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 spans="1:26" s="47" customFormat="1" ht="13.5" customHeight="1" x14ac:dyDescent="0.25">
      <c r="A25" s="39"/>
      <c r="B25" s="224"/>
      <c r="C25" s="204"/>
      <c r="D25" s="204"/>
      <c r="E25" s="204"/>
      <c r="F25" s="55" t="s">
        <v>45</v>
      </c>
      <c r="G25" s="56">
        <f t="shared" ref="G25" si="0">IF(E24&lt;0.125,"NA",IF(0.125&lt;=E24,(0.2*E24)))</f>
        <v>7.6200000000000004E-2</v>
      </c>
      <c r="H25" s="57"/>
      <c r="I25" s="58"/>
      <c r="J25" s="59">
        <v>1.0589999999999999</v>
      </c>
      <c r="K25" s="204"/>
      <c r="L25" s="204"/>
      <c r="M25" s="204"/>
      <c r="N25" s="204"/>
      <c r="O25" s="204"/>
      <c r="P25" s="20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s="47" customFormat="1" ht="13.5" customHeight="1" x14ac:dyDescent="0.25">
      <c r="A26" s="39"/>
      <c r="B26" s="224"/>
      <c r="C26" s="204"/>
      <c r="D26" s="204"/>
      <c r="E26" s="204"/>
      <c r="F26" s="55" t="s">
        <v>46</v>
      </c>
      <c r="G26" s="56">
        <f t="shared" ref="G26" si="1">+E24*0.4</f>
        <v>0.15240000000000001</v>
      </c>
      <c r="H26" s="57"/>
      <c r="I26" s="58"/>
      <c r="J26" s="59">
        <v>1.56</v>
      </c>
      <c r="K26" s="204"/>
      <c r="L26" s="204"/>
      <c r="M26" s="204"/>
      <c r="N26" s="204"/>
      <c r="O26" s="204"/>
      <c r="P26" s="20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 spans="1:26" s="47" customFormat="1" ht="13.5" customHeight="1" x14ac:dyDescent="0.25">
      <c r="A27" s="39"/>
      <c r="B27" s="224"/>
      <c r="C27" s="204"/>
      <c r="D27" s="204"/>
      <c r="E27" s="204"/>
      <c r="F27" s="55" t="s">
        <v>47</v>
      </c>
      <c r="G27" s="56">
        <f t="shared" ref="G27" si="2">IF(E24&lt;0.125,"NA",IF(0.125&lt;=E24,(0.8*E24)))</f>
        <v>0.30480000000000002</v>
      </c>
      <c r="H27" s="57"/>
      <c r="I27" s="58"/>
      <c r="J27" s="59">
        <v>1.5740000000000001</v>
      </c>
      <c r="K27" s="204"/>
      <c r="L27" s="204"/>
      <c r="M27" s="204"/>
      <c r="N27" s="204"/>
      <c r="O27" s="204"/>
      <c r="P27" s="20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 spans="1:26" s="47" customFormat="1" ht="13.5" customHeight="1" thickBot="1" x14ac:dyDescent="0.3">
      <c r="A28" s="39"/>
      <c r="B28" s="225"/>
      <c r="C28" s="205"/>
      <c r="D28" s="205"/>
      <c r="E28" s="205"/>
      <c r="F28" s="60" t="s">
        <v>48</v>
      </c>
      <c r="G28" s="61">
        <f t="shared" ref="G28" si="3">+E24</f>
        <v>0.38100000000000001</v>
      </c>
      <c r="H28" s="62"/>
      <c r="I28" s="63"/>
      <c r="J28" s="64">
        <v>1.669</v>
      </c>
      <c r="K28" s="205"/>
      <c r="L28" s="205"/>
      <c r="M28" s="205"/>
      <c r="N28" s="205"/>
      <c r="O28" s="205"/>
      <c r="P28" s="210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 spans="1:26" s="47" customFormat="1" ht="13.5" customHeight="1" x14ac:dyDescent="0.25">
      <c r="A29" s="39"/>
      <c r="B29" s="223">
        <v>3</v>
      </c>
      <c r="C29" s="226">
        <f t="shared" ref="C29" si="4">+C24+$N$12</f>
        <v>0.8</v>
      </c>
      <c r="D29" s="203">
        <v>0.25600000000000001</v>
      </c>
      <c r="E29" s="203">
        <v>0.43099999999999999</v>
      </c>
      <c r="F29" s="50" t="s">
        <v>44</v>
      </c>
      <c r="G29" s="51">
        <v>0</v>
      </c>
      <c r="H29" s="52"/>
      <c r="I29" s="53"/>
      <c r="J29" s="54"/>
      <c r="K29" s="203"/>
      <c r="L29" s="203"/>
      <c r="M29" s="203"/>
      <c r="N29" s="206"/>
      <c r="O29" s="207"/>
      <c r="P29" s="208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 spans="1:26" s="47" customFormat="1" ht="13.5" customHeight="1" x14ac:dyDescent="0.25">
      <c r="A30" s="39"/>
      <c r="B30" s="224"/>
      <c r="C30" s="204"/>
      <c r="D30" s="204"/>
      <c r="E30" s="204"/>
      <c r="F30" s="55" t="s">
        <v>45</v>
      </c>
      <c r="G30" s="56">
        <f t="shared" ref="G30" si="5">IF(E29&lt;0.125,"NA",IF(0.125&lt;=E29,(0.2*E29)))</f>
        <v>8.6199999999999999E-2</v>
      </c>
      <c r="H30" s="57"/>
      <c r="I30" s="58"/>
      <c r="J30" s="59"/>
      <c r="K30" s="204"/>
      <c r="L30" s="204"/>
      <c r="M30" s="204"/>
      <c r="N30" s="204"/>
      <c r="O30" s="204"/>
      <c r="P30" s="20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 spans="1:26" s="47" customFormat="1" ht="13.5" customHeight="1" x14ac:dyDescent="0.25">
      <c r="A31" s="39"/>
      <c r="B31" s="224"/>
      <c r="C31" s="204"/>
      <c r="D31" s="204"/>
      <c r="E31" s="204"/>
      <c r="F31" s="55" t="s">
        <v>46</v>
      </c>
      <c r="G31" s="56">
        <f t="shared" ref="G31" si="6">+E29*0.4</f>
        <v>0.1724</v>
      </c>
      <c r="H31" s="57"/>
      <c r="I31" s="58"/>
      <c r="J31" s="59"/>
      <c r="K31" s="204"/>
      <c r="L31" s="204"/>
      <c r="M31" s="204"/>
      <c r="N31" s="204"/>
      <c r="O31" s="204"/>
      <c r="P31" s="20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 spans="1:26" s="47" customFormat="1" ht="13.5" customHeight="1" x14ac:dyDescent="0.25">
      <c r="A32" s="39"/>
      <c r="B32" s="224"/>
      <c r="C32" s="204"/>
      <c r="D32" s="204"/>
      <c r="E32" s="204"/>
      <c r="F32" s="55" t="s">
        <v>47</v>
      </c>
      <c r="G32" s="56">
        <f t="shared" ref="G32" si="7">IF(E29&lt;0.125,"NA",IF(0.125&lt;=E29,(0.8*E29)))</f>
        <v>0.3448</v>
      </c>
      <c r="H32" s="57"/>
      <c r="I32" s="58"/>
      <c r="J32" s="59"/>
      <c r="K32" s="204"/>
      <c r="L32" s="204"/>
      <c r="M32" s="204"/>
      <c r="N32" s="204"/>
      <c r="O32" s="204"/>
      <c r="P32" s="20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 spans="1:26" s="47" customFormat="1" ht="13.5" customHeight="1" thickBot="1" x14ac:dyDescent="0.3">
      <c r="A33" s="39"/>
      <c r="B33" s="225"/>
      <c r="C33" s="205"/>
      <c r="D33" s="205"/>
      <c r="E33" s="205"/>
      <c r="F33" s="60" t="s">
        <v>48</v>
      </c>
      <c r="G33" s="61">
        <f t="shared" ref="G33" si="8">+E29</f>
        <v>0.43099999999999999</v>
      </c>
      <c r="H33" s="62"/>
      <c r="I33" s="63"/>
      <c r="J33" s="64"/>
      <c r="K33" s="205"/>
      <c r="L33" s="205"/>
      <c r="M33" s="205"/>
      <c r="N33" s="205"/>
      <c r="O33" s="205"/>
      <c r="P33" s="210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s="47" customFormat="1" ht="13.5" customHeight="1" x14ac:dyDescent="0.25">
      <c r="A34" s="39"/>
      <c r="B34" s="223">
        <v>4</v>
      </c>
      <c r="C34" s="226">
        <f t="shared" ref="C34" si="9">+C29+$N$12</f>
        <v>1</v>
      </c>
      <c r="D34" s="203">
        <v>0.30099999999999999</v>
      </c>
      <c r="E34" s="203">
        <v>0.29899999999999999</v>
      </c>
      <c r="F34" s="50" t="s">
        <v>44</v>
      </c>
      <c r="G34" s="51">
        <v>0</v>
      </c>
      <c r="H34" s="52"/>
      <c r="I34" s="53"/>
      <c r="J34" s="54">
        <v>0.23799999999999999</v>
      </c>
      <c r="K34" s="203">
        <f t="shared" ref="K34" si="10">+IF(E34&lt;=0.12,(J36),(IF(E34&lt;0.16,((J35+2*J36+J37)/4),IF(E34&gt;=0.16,((J34+3*J35+2*J36+3*J37+J38)/10)))))</f>
        <v>0.99909999999999999</v>
      </c>
      <c r="L34" s="203">
        <f t="shared" ref="L34" si="11">ROUND(+(D29+D34)/2*(C34-C29),3)</f>
        <v>5.6000000000000001E-2</v>
      </c>
      <c r="M34" s="203">
        <f t="shared" ref="M34" si="12">ROUND(+K34*L34,4)</f>
        <v>5.5899999999999998E-2</v>
      </c>
      <c r="N34" s="206">
        <f t="shared" ref="N34" si="13">ROUND(+M34/$M$103*100,2)</f>
        <v>11.26</v>
      </c>
      <c r="O34" s="207"/>
      <c r="P34" s="208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s="47" customFormat="1" ht="13.5" customHeight="1" x14ac:dyDescent="0.25">
      <c r="A35" s="39"/>
      <c r="B35" s="224"/>
      <c r="C35" s="204"/>
      <c r="D35" s="204"/>
      <c r="E35" s="204"/>
      <c r="F35" s="55" t="s">
        <v>45</v>
      </c>
      <c r="G35" s="56">
        <f t="shared" ref="G35" si="14">IF(E34&lt;0.125,"NA",IF(0.125&lt;=E34,(0.2*E34)))</f>
        <v>5.9799999999999999E-2</v>
      </c>
      <c r="H35" s="57"/>
      <c r="I35" s="58"/>
      <c r="J35" s="59">
        <v>0.91600000000000004</v>
      </c>
      <c r="K35" s="204"/>
      <c r="L35" s="204"/>
      <c r="M35" s="204"/>
      <c r="N35" s="204"/>
      <c r="O35" s="204"/>
      <c r="P35" s="20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s="47" customFormat="1" ht="13.5" customHeight="1" x14ac:dyDescent="0.25">
      <c r="A36" s="39"/>
      <c r="B36" s="224"/>
      <c r="C36" s="204"/>
      <c r="D36" s="204"/>
      <c r="E36" s="204"/>
      <c r="F36" s="55" t="s">
        <v>46</v>
      </c>
      <c r="G36" s="56">
        <f t="shared" ref="G36" si="15">+E34*0.4</f>
        <v>0.1196</v>
      </c>
      <c r="H36" s="57"/>
      <c r="I36" s="58"/>
      <c r="J36" s="59">
        <v>1.278</v>
      </c>
      <c r="K36" s="204"/>
      <c r="L36" s="204"/>
      <c r="M36" s="204"/>
      <c r="N36" s="204"/>
      <c r="O36" s="204"/>
      <c r="P36" s="20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s="47" customFormat="1" ht="13.5" customHeight="1" x14ac:dyDescent="0.25">
      <c r="A37" s="39"/>
      <c r="B37" s="224"/>
      <c r="C37" s="204"/>
      <c r="D37" s="204"/>
      <c r="E37" s="204"/>
      <c r="F37" s="55" t="s">
        <v>47</v>
      </c>
      <c r="G37" s="56">
        <f t="shared" ref="G37" si="16">IF(E34&lt;0.125,"NA",IF(0.125&lt;=E34,(0.8*E34)))</f>
        <v>0.2392</v>
      </c>
      <c r="H37" s="57"/>
      <c r="I37" s="58"/>
      <c r="J37" s="59">
        <v>1.2370000000000001</v>
      </c>
      <c r="K37" s="204"/>
      <c r="L37" s="204"/>
      <c r="M37" s="204"/>
      <c r="N37" s="204"/>
      <c r="O37" s="204"/>
      <c r="P37" s="20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s="47" customFormat="1" ht="13.5" customHeight="1" thickBot="1" x14ac:dyDescent="0.3">
      <c r="A38" s="39"/>
      <c r="B38" s="225"/>
      <c r="C38" s="205"/>
      <c r="D38" s="205"/>
      <c r="E38" s="205"/>
      <c r="F38" s="60" t="s">
        <v>48</v>
      </c>
      <c r="G38" s="61">
        <f t="shared" ref="G38" si="17">+E34</f>
        <v>0.29899999999999999</v>
      </c>
      <c r="H38" s="62"/>
      <c r="I38" s="63"/>
      <c r="J38" s="64">
        <v>0.73799999999999999</v>
      </c>
      <c r="K38" s="205"/>
      <c r="L38" s="205"/>
      <c r="M38" s="205"/>
      <c r="N38" s="205"/>
      <c r="O38" s="205"/>
      <c r="P38" s="210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6" s="47" customFormat="1" ht="13.5" customHeight="1" x14ac:dyDescent="0.25">
      <c r="A39" s="39"/>
      <c r="B39" s="223">
        <v>5</v>
      </c>
      <c r="C39" s="226">
        <f t="shared" ref="C39" si="18">+C34+$N$12</f>
        <v>1.2</v>
      </c>
      <c r="D39" s="203">
        <v>0.28699999999999998</v>
      </c>
      <c r="E39" s="203">
        <v>0.26300000000000001</v>
      </c>
      <c r="F39" s="50" t="s">
        <v>44</v>
      </c>
      <c r="G39" s="51">
        <v>0</v>
      </c>
      <c r="H39" s="52"/>
      <c r="I39" s="53"/>
      <c r="J39" s="54">
        <v>0.06</v>
      </c>
      <c r="K39" s="203">
        <f t="shared" ref="K39" si="19">+IF(E39&lt;=0.12,(J41),(IF(E39&lt;0.16,((J40+2*J41+J42)/4),IF(E39&gt;=0.16,((J39+3*J40+2*J41+3*J42+J43)/10)))))</f>
        <v>1.0024999999999999</v>
      </c>
      <c r="L39" s="203">
        <f t="shared" ref="L39" si="20">ROUND(+(D34+D39)/2*(C39-C34),3)</f>
        <v>5.8999999999999997E-2</v>
      </c>
      <c r="M39" s="203">
        <f t="shared" ref="M39" si="21">ROUND(+K39*L39,4)</f>
        <v>5.91E-2</v>
      </c>
      <c r="N39" s="206">
        <f t="shared" ref="N39" si="22">ROUND(+M39/$M$103*100,2)</f>
        <v>11.9</v>
      </c>
      <c r="O39" s="207"/>
      <c r="P39" s="208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spans="1:26" s="47" customFormat="1" ht="13.5" customHeight="1" x14ac:dyDescent="0.25">
      <c r="A40" s="39"/>
      <c r="B40" s="224"/>
      <c r="C40" s="204"/>
      <c r="D40" s="204"/>
      <c r="E40" s="204"/>
      <c r="F40" s="55" t="s">
        <v>45</v>
      </c>
      <c r="G40" s="56">
        <f t="shared" ref="G40" si="23">IF(E39&lt;0.125,"NA",IF(0.125&lt;=E39,(0.2*E39)))</f>
        <v>5.2600000000000008E-2</v>
      </c>
      <c r="H40" s="57"/>
      <c r="I40" s="58"/>
      <c r="J40" s="59">
        <v>0.91100000000000003</v>
      </c>
      <c r="K40" s="204"/>
      <c r="L40" s="204"/>
      <c r="M40" s="204"/>
      <c r="N40" s="204"/>
      <c r="O40" s="204"/>
      <c r="P40" s="20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spans="1:26" s="47" customFormat="1" ht="13.5" customHeight="1" x14ac:dyDescent="0.25">
      <c r="A41" s="39"/>
      <c r="B41" s="224"/>
      <c r="C41" s="204"/>
      <c r="D41" s="204"/>
      <c r="E41" s="204"/>
      <c r="F41" s="55" t="s">
        <v>46</v>
      </c>
      <c r="G41" s="56">
        <f t="shared" ref="G41" si="24">+E39*0.4</f>
        <v>0.10520000000000002</v>
      </c>
      <c r="H41" s="57"/>
      <c r="I41" s="58"/>
      <c r="J41" s="59">
        <v>1.0249999999999999</v>
      </c>
      <c r="K41" s="204"/>
      <c r="L41" s="204"/>
      <c r="M41" s="204"/>
      <c r="N41" s="204"/>
      <c r="O41" s="204"/>
      <c r="P41" s="20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spans="1:26" s="47" customFormat="1" ht="13.5" customHeight="1" x14ac:dyDescent="0.25">
      <c r="A42" s="39"/>
      <c r="B42" s="224"/>
      <c r="C42" s="204"/>
      <c r="D42" s="204"/>
      <c r="E42" s="204"/>
      <c r="F42" s="55" t="s">
        <v>47</v>
      </c>
      <c r="G42" s="56">
        <f t="shared" ref="G42" si="25">IF(E39&lt;0.125,"NA",IF(0.125&lt;=E39,(0.8*E39)))</f>
        <v>0.21040000000000003</v>
      </c>
      <c r="H42" s="57"/>
      <c r="I42" s="58"/>
      <c r="J42" s="59">
        <v>1.2809999999999999</v>
      </c>
      <c r="K42" s="204"/>
      <c r="L42" s="204"/>
      <c r="M42" s="204"/>
      <c r="N42" s="204"/>
      <c r="O42" s="204"/>
      <c r="P42" s="20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spans="1:26" s="47" customFormat="1" ht="13.5" customHeight="1" thickBot="1" x14ac:dyDescent="0.3">
      <c r="A43" s="39"/>
      <c r="B43" s="225"/>
      <c r="C43" s="205"/>
      <c r="D43" s="205"/>
      <c r="E43" s="205"/>
      <c r="F43" s="60" t="s">
        <v>48</v>
      </c>
      <c r="G43" s="61">
        <f t="shared" ref="G43" si="26">+E39</f>
        <v>0.26300000000000001</v>
      </c>
      <c r="H43" s="62"/>
      <c r="I43" s="63"/>
      <c r="J43" s="64">
        <v>1.339</v>
      </c>
      <c r="K43" s="205"/>
      <c r="L43" s="205"/>
      <c r="M43" s="205"/>
      <c r="N43" s="205"/>
      <c r="O43" s="205"/>
      <c r="P43" s="210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spans="1:26" s="47" customFormat="1" ht="13.5" customHeight="1" x14ac:dyDescent="0.25">
      <c r="A44" s="39"/>
      <c r="B44" s="223">
        <v>6</v>
      </c>
      <c r="C44" s="226">
        <f t="shared" ref="C44" si="27">+C39+$N$12</f>
        <v>1.4</v>
      </c>
      <c r="D44" s="203">
        <v>0.20799999999999999</v>
      </c>
      <c r="E44" s="203">
        <v>0.17499999999999999</v>
      </c>
      <c r="F44" s="50" t="s">
        <v>44</v>
      </c>
      <c r="G44" s="51">
        <v>0</v>
      </c>
      <c r="H44" s="52"/>
      <c r="I44" s="53"/>
      <c r="J44" s="54">
        <v>0.90800000000000003</v>
      </c>
      <c r="K44" s="203">
        <f t="shared" ref="K44" si="28">+IF(E44&lt;=0.12,(J46),(IF(E44&lt;0.16,((J45+2*J46+J47)/4),IF(E44&gt;=0.16,((J44+3*J45+2*J46+3*J47+J48)/10)))))</f>
        <v>1.0139</v>
      </c>
      <c r="L44" s="203">
        <f t="shared" ref="L44" si="29">ROUND(+(D39+D44)/2*(C44-C39),3)</f>
        <v>0.05</v>
      </c>
      <c r="M44" s="203">
        <f t="shared" ref="M44" si="30">ROUND(+K44*L44,4)</f>
        <v>5.0700000000000002E-2</v>
      </c>
      <c r="N44" s="206">
        <f t="shared" ref="N44" si="31">ROUND(+M44/$M$103*100,2)</f>
        <v>10.210000000000001</v>
      </c>
      <c r="O44" s="207"/>
      <c r="P44" s="208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spans="1:26" s="47" customFormat="1" ht="13.5" customHeight="1" x14ac:dyDescent="0.25">
      <c r="A45" s="39"/>
      <c r="B45" s="224"/>
      <c r="C45" s="204"/>
      <c r="D45" s="204"/>
      <c r="E45" s="204"/>
      <c r="F45" s="55" t="s">
        <v>45</v>
      </c>
      <c r="G45" s="56">
        <f t="shared" ref="G45" si="32">IF(E44&lt;0.125,"NA",IF(0.125&lt;=E44,(0.2*E44)))</f>
        <v>3.4999999999999996E-2</v>
      </c>
      <c r="H45" s="57"/>
      <c r="I45" s="58"/>
      <c r="J45" s="59">
        <v>1.008</v>
      </c>
      <c r="K45" s="204"/>
      <c r="L45" s="204"/>
      <c r="M45" s="204"/>
      <c r="N45" s="204"/>
      <c r="O45" s="204"/>
      <c r="P45" s="20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spans="1:26" s="47" customFormat="1" ht="13.5" customHeight="1" x14ac:dyDescent="0.25">
      <c r="A46" s="39"/>
      <c r="B46" s="224"/>
      <c r="C46" s="204"/>
      <c r="D46" s="204"/>
      <c r="E46" s="204"/>
      <c r="F46" s="55" t="s">
        <v>46</v>
      </c>
      <c r="G46" s="56">
        <f t="shared" ref="G46" si="33">+E44*0.4</f>
        <v>6.9999999999999993E-2</v>
      </c>
      <c r="H46" s="57"/>
      <c r="I46" s="58"/>
      <c r="J46" s="59">
        <v>1.0629999999999999</v>
      </c>
      <c r="K46" s="204"/>
      <c r="L46" s="204"/>
      <c r="M46" s="204"/>
      <c r="N46" s="204"/>
      <c r="O46" s="204"/>
      <c r="P46" s="20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spans="1:26" s="47" customFormat="1" ht="13.5" customHeight="1" x14ac:dyDescent="0.25">
      <c r="A47" s="39"/>
      <c r="B47" s="224"/>
      <c r="C47" s="204"/>
      <c r="D47" s="204"/>
      <c r="E47" s="204"/>
      <c r="F47" s="55" t="s">
        <v>47</v>
      </c>
      <c r="G47" s="56">
        <f t="shared" ref="G47" si="34">IF(E44&lt;0.125,"NA",IF(0.125&lt;=E44,(0.8*E44)))</f>
        <v>0.13999999999999999</v>
      </c>
      <c r="H47" s="57"/>
      <c r="I47" s="58"/>
      <c r="J47" s="59">
        <v>1.0209999999999999</v>
      </c>
      <c r="K47" s="204"/>
      <c r="L47" s="204"/>
      <c r="M47" s="204"/>
      <c r="N47" s="204"/>
      <c r="O47" s="204"/>
      <c r="P47" s="20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spans="1:26" s="47" customFormat="1" ht="13.5" customHeight="1" thickBot="1" x14ac:dyDescent="0.3">
      <c r="A48" s="39"/>
      <c r="B48" s="225"/>
      <c r="C48" s="205"/>
      <c r="D48" s="205"/>
      <c r="E48" s="205"/>
      <c r="F48" s="60" t="s">
        <v>48</v>
      </c>
      <c r="G48" s="61">
        <f t="shared" ref="G48" si="35">+E44</f>
        <v>0.17499999999999999</v>
      </c>
      <c r="H48" s="62"/>
      <c r="I48" s="63"/>
      <c r="J48" s="64">
        <v>1.018</v>
      </c>
      <c r="K48" s="205"/>
      <c r="L48" s="205"/>
      <c r="M48" s="205"/>
      <c r="N48" s="205"/>
      <c r="O48" s="205"/>
      <c r="P48" s="210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s="47" customFormat="1" ht="13.5" customHeight="1" x14ac:dyDescent="0.25">
      <c r="A49" s="39"/>
      <c r="B49" s="223">
        <v>7</v>
      </c>
      <c r="C49" s="226">
        <f t="shared" ref="C49" si="36">+C44+$N$12</f>
        <v>1.5999999999999999</v>
      </c>
      <c r="D49" s="203">
        <v>9.7000000000000003E-2</v>
      </c>
      <c r="E49" s="203">
        <v>0.188</v>
      </c>
      <c r="F49" s="50" t="s">
        <v>44</v>
      </c>
      <c r="G49" s="51">
        <v>0</v>
      </c>
      <c r="H49" s="52"/>
      <c r="I49" s="53"/>
      <c r="J49" s="54">
        <v>0.42399999999999999</v>
      </c>
      <c r="K49" s="203">
        <f t="shared" ref="K49" si="37">+IF(E49&lt;=0.12,(J51),(IF(E49&lt;0.16,((J50+2*J51+J52)/4),IF(E49&gt;=0.16,((J49+3*J50+2*J51+3*J52+J53)/10)))))</f>
        <v>0.47729999999999995</v>
      </c>
      <c r="L49" s="203">
        <f t="shared" ref="L49" si="38">ROUND(+(D44+D49)/2*(C49-C44),3)</f>
        <v>3.1E-2</v>
      </c>
      <c r="M49" s="203">
        <f t="shared" ref="M49" si="39">ROUND(+K49*L49,4)</f>
        <v>1.4800000000000001E-2</v>
      </c>
      <c r="N49" s="206">
        <f t="shared" ref="N49" si="40">ROUND(+M49/$M$103*100,2)</f>
        <v>2.98</v>
      </c>
      <c r="O49" s="207"/>
      <c r="P49" s="208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s="47" customFormat="1" ht="13.5" customHeight="1" x14ac:dyDescent="0.25">
      <c r="A50" s="39"/>
      <c r="B50" s="224"/>
      <c r="C50" s="204"/>
      <c r="D50" s="204"/>
      <c r="E50" s="204"/>
      <c r="F50" s="55" t="s">
        <v>45</v>
      </c>
      <c r="G50" s="56">
        <f t="shared" ref="G50" si="41">IF(E49&lt;0.125,"NA",IF(0.125&lt;=E49,(0.2*E49)))</f>
        <v>3.7600000000000001E-2</v>
      </c>
      <c r="H50" s="57"/>
      <c r="I50" s="58"/>
      <c r="J50" s="59">
        <v>0.42299999999999999</v>
      </c>
      <c r="K50" s="204"/>
      <c r="L50" s="204"/>
      <c r="M50" s="204"/>
      <c r="N50" s="204"/>
      <c r="O50" s="204"/>
      <c r="P50" s="20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s="47" customFormat="1" ht="13.5" customHeight="1" x14ac:dyDescent="0.25">
      <c r="A51" s="39"/>
      <c r="B51" s="224"/>
      <c r="C51" s="204"/>
      <c r="D51" s="204"/>
      <c r="E51" s="204"/>
      <c r="F51" s="55" t="s">
        <v>46</v>
      </c>
      <c r="G51" s="56">
        <f t="shared" ref="G51" si="42">+E49*0.4</f>
        <v>7.5200000000000003E-2</v>
      </c>
      <c r="H51" s="57"/>
      <c r="I51" s="58"/>
      <c r="J51" s="59">
        <v>0.34799999999999998</v>
      </c>
      <c r="K51" s="204"/>
      <c r="L51" s="204"/>
      <c r="M51" s="204"/>
      <c r="N51" s="204"/>
      <c r="O51" s="204"/>
      <c r="P51" s="20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spans="1:26" s="47" customFormat="1" ht="13.5" customHeight="1" x14ac:dyDescent="0.25">
      <c r="A52" s="39"/>
      <c r="B52" s="224"/>
      <c r="C52" s="204"/>
      <c r="D52" s="204"/>
      <c r="E52" s="204"/>
      <c r="F52" s="55" t="s">
        <v>47</v>
      </c>
      <c r="G52" s="56">
        <f t="shared" ref="G52" si="43">IF(E49&lt;0.125,"NA",IF(0.125&lt;=E49,(0.8*E49)))</f>
        <v>0.15040000000000001</v>
      </c>
      <c r="H52" s="57"/>
      <c r="I52" s="58"/>
      <c r="J52" s="59">
        <v>0.59599999999999997</v>
      </c>
      <c r="K52" s="204"/>
      <c r="L52" s="204"/>
      <c r="M52" s="204"/>
      <c r="N52" s="204"/>
      <c r="O52" s="204"/>
      <c r="P52" s="20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spans="1:26" s="47" customFormat="1" ht="13.5" customHeight="1" thickBot="1" x14ac:dyDescent="0.3">
      <c r="A53" s="39"/>
      <c r="B53" s="225"/>
      <c r="C53" s="205"/>
      <c r="D53" s="205"/>
      <c r="E53" s="205"/>
      <c r="F53" s="60" t="s">
        <v>48</v>
      </c>
      <c r="G53" s="61">
        <f t="shared" ref="G53" si="44">+E49</f>
        <v>0.188</v>
      </c>
      <c r="H53" s="62"/>
      <c r="I53" s="63"/>
      <c r="J53" s="64">
        <v>0.59599999999999997</v>
      </c>
      <c r="K53" s="205"/>
      <c r="L53" s="205"/>
      <c r="M53" s="205"/>
      <c r="N53" s="205"/>
      <c r="O53" s="205"/>
      <c r="P53" s="210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spans="1:26" s="47" customFormat="1" ht="13.5" customHeight="1" x14ac:dyDescent="0.25">
      <c r="A54" s="39"/>
      <c r="B54" s="223">
        <v>8</v>
      </c>
      <c r="C54" s="226">
        <f t="shared" ref="C54" si="45">+C49+$N$12</f>
        <v>1.7999999999999998</v>
      </c>
      <c r="D54" s="203">
        <v>5.7000000000000002E-2</v>
      </c>
      <c r="E54" s="203">
        <v>7.1999999999999995E-2</v>
      </c>
      <c r="F54" s="50" t="s">
        <v>44</v>
      </c>
      <c r="G54" s="51">
        <v>0</v>
      </c>
      <c r="H54" s="52"/>
      <c r="I54" s="53"/>
      <c r="J54" s="54">
        <v>0.66700000000000004</v>
      </c>
      <c r="K54" s="203">
        <f t="shared" ref="K54" si="46">+IF(E54&lt;=0.12,(J56),(IF(E54&lt;0.16,((J55+2*J56+J57)/4),IF(E54&gt;=0.16,((J54+3*J55+2*J56+3*J57+J58)/10)))))</f>
        <v>0.71299999999999997</v>
      </c>
      <c r="L54" s="203">
        <f t="shared" ref="L54" si="47">ROUND(+(D49+D54)/2*(C54-C49),3)</f>
        <v>1.4999999999999999E-2</v>
      </c>
      <c r="M54" s="203">
        <f t="shared" ref="M54" si="48">ROUND(+K54*L54,4)</f>
        <v>1.0699999999999999E-2</v>
      </c>
      <c r="N54" s="206">
        <f t="shared" ref="N54" si="49">ROUND(+M54/$M$103*100,2)</f>
        <v>2.15</v>
      </c>
      <c r="O54" s="207"/>
      <c r="P54" s="208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spans="1:26" s="47" customFormat="1" ht="13.5" customHeight="1" x14ac:dyDescent="0.25">
      <c r="A55" s="39"/>
      <c r="B55" s="224"/>
      <c r="C55" s="204"/>
      <c r="D55" s="204"/>
      <c r="E55" s="204"/>
      <c r="F55" s="55" t="s">
        <v>45</v>
      </c>
      <c r="G55" s="56" t="str">
        <f t="shared" ref="G55" si="50">IF(E54&lt;0.125,"NA",IF(0.125&lt;=E54,(0.2*E54)))</f>
        <v>NA</v>
      </c>
      <c r="H55" s="57"/>
      <c r="I55" s="58"/>
      <c r="J55" s="59"/>
      <c r="K55" s="204"/>
      <c r="L55" s="204"/>
      <c r="M55" s="204"/>
      <c r="N55" s="204"/>
      <c r="O55" s="204"/>
      <c r="P55" s="20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spans="1:26" s="47" customFormat="1" ht="13.5" customHeight="1" x14ac:dyDescent="0.25">
      <c r="A56" s="39"/>
      <c r="B56" s="224"/>
      <c r="C56" s="204"/>
      <c r="D56" s="204"/>
      <c r="E56" s="204"/>
      <c r="F56" s="55" t="s">
        <v>46</v>
      </c>
      <c r="G56" s="56">
        <f t="shared" ref="G56" si="51">+E54*0.4</f>
        <v>2.8799999999999999E-2</v>
      </c>
      <c r="H56" s="57"/>
      <c r="I56" s="58"/>
      <c r="J56" s="59">
        <v>0.71299999999999997</v>
      </c>
      <c r="K56" s="204"/>
      <c r="L56" s="204"/>
      <c r="M56" s="204"/>
      <c r="N56" s="204"/>
      <c r="O56" s="204"/>
      <c r="P56" s="20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spans="1:26" s="47" customFormat="1" ht="13.5" customHeight="1" x14ac:dyDescent="0.25">
      <c r="A57" s="39"/>
      <c r="B57" s="224"/>
      <c r="C57" s="204"/>
      <c r="D57" s="204"/>
      <c r="E57" s="204"/>
      <c r="F57" s="55" t="s">
        <v>47</v>
      </c>
      <c r="G57" s="56" t="str">
        <f t="shared" ref="G57" si="52">IF(E54&lt;0.125,"NA",IF(0.125&lt;=E54,(0.8*E54)))</f>
        <v>NA</v>
      </c>
      <c r="H57" s="57"/>
      <c r="I57" s="58"/>
      <c r="J57" s="59"/>
      <c r="K57" s="204"/>
      <c r="L57" s="204"/>
      <c r="M57" s="204"/>
      <c r="N57" s="204"/>
      <c r="O57" s="204"/>
      <c r="P57" s="20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spans="1:26" s="47" customFormat="1" ht="13.5" customHeight="1" thickBot="1" x14ac:dyDescent="0.3">
      <c r="A58" s="39"/>
      <c r="B58" s="225"/>
      <c r="C58" s="205"/>
      <c r="D58" s="205"/>
      <c r="E58" s="205"/>
      <c r="F58" s="60" t="s">
        <v>48</v>
      </c>
      <c r="G58" s="61">
        <f t="shared" ref="G58" si="53">+E54</f>
        <v>7.1999999999999995E-2</v>
      </c>
      <c r="H58" s="62"/>
      <c r="I58" s="63"/>
      <c r="J58" s="64">
        <v>0.53200000000000003</v>
      </c>
      <c r="K58" s="205"/>
      <c r="L58" s="205"/>
      <c r="M58" s="205"/>
      <c r="N58" s="205"/>
      <c r="O58" s="205"/>
      <c r="P58" s="210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spans="1:26" s="47" customFormat="1" ht="13.5" customHeight="1" x14ac:dyDescent="0.25">
      <c r="A59" s="39"/>
      <c r="B59" s="223">
        <v>9</v>
      </c>
      <c r="C59" s="226">
        <f t="shared" ref="C59" si="54">+C54+$N$12</f>
        <v>1.9999999999999998</v>
      </c>
      <c r="D59" s="203">
        <v>0.127</v>
      </c>
      <c r="E59" s="203">
        <v>4.3999999999999997E-2</v>
      </c>
      <c r="F59" s="50" t="s">
        <v>44</v>
      </c>
      <c r="G59" s="51">
        <v>0</v>
      </c>
      <c r="H59" s="52"/>
      <c r="I59" s="53"/>
      <c r="J59" s="54"/>
      <c r="K59" s="203">
        <f t="shared" ref="K59" si="55">+IF(E59&lt;=0.12,(J61),(IF(E59&lt;0.16,((J60+2*J61+J62)/4),IF(E59&gt;=0.16,((J59+3*J60+2*J61+3*J62+J63)/10)))))</f>
        <v>0.40400000000000003</v>
      </c>
      <c r="L59" s="203">
        <f t="shared" ref="L59" si="56">ROUND(+(D54+D59)/2*(C59-C54),3)</f>
        <v>1.7999999999999999E-2</v>
      </c>
      <c r="M59" s="203">
        <f t="shared" ref="M59" si="57">ROUND(+K59*L59,4)</f>
        <v>7.3000000000000001E-3</v>
      </c>
      <c r="N59" s="206">
        <f t="shared" ref="N59" si="58">ROUND(+M59/$M$103*100,2)</f>
        <v>1.47</v>
      </c>
      <c r="O59" s="207"/>
      <c r="P59" s="208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spans="1:26" s="47" customFormat="1" ht="13.5" customHeight="1" x14ac:dyDescent="0.25">
      <c r="A60" s="39"/>
      <c r="B60" s="224"/>
      <c r="C60" s="204"/>
      <c r="D60" s="204"/>
      <c r="E60" s="204"/>
      <c r="F60" s="55" t="s">
        <v>45</v>
      </c>
      <c r="G60" s="56" t="str">
        <f t="shared" ref="G60" si="59">IF(E59&lt;0.125,"NA",IF(0.125&lt;=E59,(0.2*E59)))</f>
        <v>NA</v>
      </c>
      <c r="H60" s="57"/>
      <c r="I60" s="58"/>
      <c r="J60" s="59"/>
      <c r="K60" s="204"/>
      <c r="L60" s="204"/>
      <c r="M60" s="204"/>
      <c r="N60" s="204"/>
      <c r="O60" s="204"/>
      <c r="P60" s="20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spans="1:26" s="47" customFormat="1" ht="13.5" customHeight="1" x14ac:dyDescent="0.25">
      <c r="A61" s="39"/>
      <c r="B61" s="224"/>
      <c r="C61" s="204"/>
      <c r="D61" s="204"/>
      <c r="E61" s="204"/>
      <c r="F61" s="55" t="s">
        <v>46</v>
      </c>
      <c r="G61" s="56">
        <f t="shared" ref="G61" si="60">+E59*0.4</f>
        <v>1.7600000000000001E-2</v>
      </c>
      <c r="H61" s="57"/>
      <c r="I61" s="58"/>
      <c r="J61" s="59">
        <v>0.40400000000000003</v>
      </c>
      <c r="K61" s="204"/>
      <c r="L61" s="204"/>
      <c r="M61" s="204"/>
      <c r="N61" s="204"/>
      <c r="O61" s="204"/>
      <c r="P61" s="20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spans="1:26" s="47" customFormat="1" ht="13.5" customHeight="1" x14ac:dyDescent="0.25">
      <c r="A62" s="39"/>
      <c r="B62" s="224"/>
      <c r="C62" s="204"/>
      <c r="D62" s="204"/>
      <c r="E62" s="204"/>
      <c r="F62" s="55" t="s">
        <v>47</v>
      </c>
      <c r="G62" s="56" t="str">
        <f t="shared" ref="G62" si="61">IF(E59&lt;0.125,"NA",IF(0.125&lt;=E59,(0.8*E59)))</f>
        <v>NA</v>
      </c>
      <c r="H62" s="57"/>
      <c r="I62" s="58"/>
      <c r="J62" s="59"/>
      <c r="K62" s="204"/>
      <c r="L62" s="204"/>
      <c r="M62" s="204"/>
      <c r="N62" s="204"/>
      <c r="O62" s="204"/>
      <c r="P62" s="20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spans="1:26" s="47" customFormat="1" ht="13.5" customHeight="1" thickBot="1" x14ac:dyDescent="0.3">
      <c r="A63" s="39"/>
      <c r="B63" s="225"/>
      <c r="C63" s="205"/>
      <c r="D63" s="205"/>
      <c r="E63" s="205"/>
      <c r="F63" s="60" t="s">
        <v>48</v>
      </c>
      <c r="G63" s="61">
        <f t="shared" ref="G63" si="62">+E59</f>
        <v>4.3999999999999997E-2</v>
      </c>
      <c r="H63" s="62"/>
      <c r="I63" s="63"/>
      <c r="J63" s="64">
        <v>0.20699999999999999</v>
      </c>
      <c r="K63" s="205"/>
      <c r="L63" s="205"/>
      <c r="M63" s="205"/>
      <c r="N63" s="205"/>
      <c r="O63" s="205"/>
      <c r="P63" s="210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spans="1:26" s="47" customFormat="1" ht="13.5" customHeight="1" x14ac:dyDescent="0.25">
      <c r="A64" s="39"/>
      <c r="B64" s="223">
        <v>10</v>
      </c>
      <c r="C64" s="226">
        <f t="shared" ref="C64" si="63">+C59+$N$12</f>
        <v>2.1999999999999997</v>
      </c>
      <c r="D64" s="203">
        <v>8.3000000000000004E-2</v>
      </c>
      <c r="E64" s="203">
        <v>9.7000000000000003E-2</v>
      </c>
      <c r="F64" s="50" t="s">
        <v>44</v>
      </c>
      <c r="G64" s="51">
        <v>0</v>
      </c>
      <c r="H64" s="52"/>
      <c r="I64" s="53"/>
      <c r="J64" s="54">
        <v>0.438</v>
      </c>
      <c r="K64" s="203">
        <f t="shared" ref="K64" si="64">+IF(E64&lt;=0.12,(J66),(IF(E64&lt;0.16,((J65+2*J66+J67)/4),IF(E64&gt;=0.16,((J64+3*J65+2*J66+3*J67+J68)/10)))))</f>
        <v>0.52500000000000002</v>
      </c>
      <c r="L64" s="203">
        <f t="shared" ref="L64" si="65">ROUND(+(D59+D64)/2*(C64-C59),3)</f>
        <v>2.1000000000000001E-2</v>
      </c>
      <c r="M64" s="203">
        <f t="shared" ref="M64" si="66">ROUND(+K64*L64,4)</f>
        <v>1.0999999999999999E-2</v>
      </c>
      <c r="N64" s="206">
        <f t="shared" ref="N64" si="67">ROUND(+M64/$M$103*100,2)</f>
        <v>2.2200000000000002</v>
      </c>
      <c r="O64" s="207"/>
      <c r="P64" s="208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spans="1:26" s="47" customFormat="1" ht="13.5" customHeight="1" x14ac:dyDescent="0.25">
      <c r="A65" s="39"/>
      <c r="B65" s="224"/>
      <c r="C65" s="204"/>
      <c r="D65" s="204"/>
      <c r="E65" s="204"/>
      <c r="F65" s="55" t="s">
        <v>45</v>
      </c>
      <c r="G65" s="56" t="str">
        <f t="shared" ref="G65" si="68">IF(E64&lt;0.125,"NA",IF(0.125&lt;=E64,(0.2*E64)))</f>
        <v>NA</v>
      </c>
      <c r="H65" s="57"/>
      <c r="I65" s="58"/>
      <c r="J65" s="59"/>
      <c r="K65" s="204"/>
      <c r="L65" s="204"/>
      <c r="M65" s="204"/>
      <c r="N65" s="204"/>
      <c r="O65" s="204"/>
      <c r="P65" s="20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spans="1:26" s="47" customFormat="1" ht="13.5" customHeight="1" x14ac:dyDescent="0.25">
      <c r="A66" s="39"/>
      <c r="B66" s="224"/>
      <c r="C66" s="204"/>
      <c r="D66" s="204"/>
      <c r="E66" s="204"/>
      <c r="F66" s="55" t="s">
        <v>46</v>
      </c>
      <c r="G66" s="56">
        <f t="shared" ref="G66" si="69">+E64*0.4</f>
        <v>3.8800000000000001E-2</v>
      </c>
      <c r="H66" s="57"/>
      <c r="I66" s="58"/>
      <c r="J66" s="59">
        <v>0.52500000000000002</v>
      </c>
      <c r="K66" s="204"/>
      <c r="L66" s="204"/>
      <c r="M66" s="204"/>
      <c r="N66" s="204"/>
      <c r="O66" s="204"/>
      <c r="P66" s="20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 spans="1:26" s="47" customFormat="1" ht="13.5" customHeight="1" x14ac:dyDescent="0.25">
      <c r="A67" s="39"/>
      <c r="B67" s="224"/>
      <c r="C67" s="204"/>
      <c r="D67" s="204"/>
      <c r="E67" s="204"/>
      <c r="F67" s="55" t="s">
        <v>47</v>
      </c>
      <c r="G67" s="56" t="str">
        <f t="shared" ref="G67" si="70">IF(E64&lt;0.125,"NA",IF(0.125&lt;=E64,(0.8*E64)))</f>
        <v>NA</v>
      </c>
      <c r="H67" s="57"/>
      <c r="I67" s="58"/>
      <c r="J67" s="59"/>
      <c r="K67" s="204"/>
      <c r="L67" s="204"/>
      <c r="M67" s="204"/>
      <c r="N67" s="204"/>
      <c r="O67" s="204"/>
      <c r="P67" s="20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 spans="1:26" s="47" customFormat="1" ht="13.5" customHeight="1" thickBot="1" x14ac:dyDescent="0.3">
      <c r="A68" s="39"/>
      <c r="B68" s="225"/>
      <c r="C68" s="205"/>
      <c r="D68" s="205"/>
      <c r="E68" s="205"/>
      <c r="F68" s="60" t="s">
        <v>48</v>
      </c>
      <c r="G68" s="61">
        <f t="shared" ref="G68" si="71">+E64</f>
        <v>9.7000000000000003E-2</v>
      </c>
      <c r="H68" s="62"/>
      <c r="I68" s="63"/>
      <c r="J68" s="64">
        <v>0.54100000000000004</v>
      </c>
      <c r="K68" s="205"/>
      <c r="L68" s="205"/>
      <c r="M68" s="205"/>
      <c r="N68" s="205"/>
      <c r="O68" s="205"/>
      <c r="P68" s="210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 spans="1:26" s="47" customFormat="1" ht="13.5" customHeight="1" x14ac:dyDescent="0.25">
      <c r="A69" s="39" t="s">
        <v>119</v>
      </c>
      <c r="B69" s="223">
        <v>11</v>
      </c>
      <c r="C69" s="226">
        <f t="shared" ref="C69" si="72">+C64+$N$12</f>
        <v>2.4</v>
      </c>
      <c r="D69" s="203">
        <v>7.3999999999999996E-2</v>
      </c>
      <c r="E69" s="203">
        <v>5.3999999999999999E-2</v>
      </c>
      <c r="F69" s="50" t="s">
        <v>44</v>
      </c>
      <c r="G69" s="51">
        <v>0</v>
      </c>
      <c r="H69" s="52"/>
      <c r="I69" s="53"/>
      <c r="J69" s="54"/>
      <c r="K69" s="203">
        <f t="shared" ref="K69" si="73">+IF(E69&lt;=0.12,(J71),(IF(E69&lt;0.16,((J70+2*J71+J72)/4),IF(E69&gt;=0.16,((J69+3*J70+2*J71+3*J72+J73)/10)))))</f>
        <v>0.34300000000000003</v>
      </c>
      <c r="L69" s="203">
        <f t="shared" ref="L69" si="74">ROUND(+(D64+D69)/2*(C69-C64),3)</f>
        <v>1.6E-2</v>
      </c>
      <c r="M69" s="203">
        <f t="shared" ref="M69" si="75">ROUND(+K69*L69,4)</f>
        <v>5.4999999999999997E-3</v>
      </c>
      <c r="N69" s="206">
        <f t="shared" ref="N69" si="76">ROUND(+M69/$M$103*100,2)</f>
        <v>1.1100000000000001</v>
      </c>
      <c r="O69" s="207"/>
      <c r="P69" s="208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 spans="1:26" s="47" customFormat="1" ht="13.5" customHeight="1" x14ac:dyDescent="0.25">
      <c r="A70" s="39"/>
      <c r="B70" s="224"/>
      <c r="C70" s="204"/>
      <c r="D70" s="204"/>
      <c r="E70" s="204"/>
      <c r="F70" s="55" t="s">
        <v>45</v>
      </c>
      <c r="G70" s="56" t="str">
        <f t="shared" ref="G70" si="77">IF(E69&lt;0.125,"NA",IF(0.125&lt;=E69,(0.2*E69)))</f>
        <v>NA</v>
      </c>
      <c r="H70" s="57"/>
      <c r="I70" s="58"/>
      <c r="J70" s="59"/>
      <c r="K70" s="204"/>
      <c r="L70" s="204"/>
      <c r="M70" s="204"/>
      <c r="N70" s="204"/>
      <c r="O70" s="204"/>
      <c r="P70" s="20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 spans="1:26" s="47" customFormat="1" ht="13.5" customHeight="1" x14ac:dyDescent="0.25">
      <c r="A71" s="39"/>
      <c r="B71" s="224"/>
      <c r="C71" s="204"/>
      <c r="D71" s="204"/>
      <c r="E71" s="204"/>
      <c r="F71" s="55" t="s">
        <v>46</v>
      </c>
      <c r="G71" s="56">
        <f t="shared" ref="G71" si="78">+E69*0.4</f>
        <v>2.1600000000000001E-2</v>
      </c>
      <c r="H71" s="57"/>
      <c r="I71" s="58"/>
      <c r="J71" s="59">
        <v>0.34300000000000003</v>
      </c>
      <c r="K71" s="204"/>
      <c r="L71" s="204"/>
      <c r="M71" s="204"/>
      <c r="N71" s="204"/>
      <c r="O71" s="204"/>
      <c r="P71" s="20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 spans="1:26" s="47" customFormat="1" ht="13.5" customHeight="1" x14ac:dyDescent="0.25">
      <c r="A72" s="39"/>
      <c r="B72" s="224"/>
      <c r="C72" s="204"/>
      <c r="D72" s="204"/>
      <c r="E72" s="204"/>
      <c r="F72" s="55" t="s">
        <v>47</v>
      </c>
      <c r="G72" s="56" t="str">
        <f t="shared" ref="G72" si="79">IF(E69&lt;0.125,"NA",IF(0.125&lt;=E69,(0.8*E69)))</f>
        <v>NA</v>
      </c>
      <c r="H72" s="57"/>
      <c r="I72" s="58"/>
      <c r="J72" s="59"/>
      <c r="K72" s="204"/>
      <c r="L72" s="204"/>
      <c r="M72" s="204"/>
      <c r="N72" s="204"/>
      <c r="O72" s="204"/>
      <c r="P72" s="20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 spans="1:26" s="47" customFormat="1" ht="13.5" customHeight="1" thickBot="1" x14ac:dyDescent="0.3">
      <c r="A73" s="39"/>
      <c r="B73" s="225"/>
      <c r="C73" s="205"/>
      <c r="D73" s="205"/>
      <c r="E73" s="205"/>
      <c r="F73" s="60" t="s">
        <v>48</v>
      </c>
      <c r="G73" s="61">
        <f t="shared" ref="G73" si="80">+E69</f>
        <v>5.3999999999999999E-2</v>
      </c>
      <c r="H73" s="62"/>
      <c r="I73" s="63"/>
      <c r="J73" s="64">
        <v>0.32500000000000001</v>
      </c>
      <c r="K73" s="205"/>
      <c r="L73" s="205"/>
      <c r="M73" s="205"/>
      <c r="N73" s="205"/>
      <c r="O73" s="205"/>
      <c r="P73" s="210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 spans="1:26" s="47" customFormat="1" ht="13.5" customHeight="1" x14ac:dyDescent="0.25">
      <c r="A74" s="39"/>
      <c r="B74" s="223">
        <v>12</v>
      </c>
      <c r="C74" s="226">
        <f t="shared" ref="C74" si="81">+C69+$N$12</f>
        <v>2.6</v>
      </c>
      <c r="D74" s="203">
        <v>7.0000000000000007E-2</v>
      </c>
      <c r="E74" s="203">
        <v>0.04</v>
      </c>
      <c r="F74" s="50" t="s">
        <v>44</v>
      </c>
      <c r="G74" s="51">
        <v>0</v>
      </c>
      <c r="H74" s="52"/>
      <c r="I74" s="53"/>
      <c r="J74" s="54">
        <v>0.246</v>
      </c>
      <c r="K74" s="203">
        <f t="shared" ref="K74" si="82">+IF(E74&lt;=0.12,(J76),(IF(E74&lt;0.16,((J75+2*J76+J77)/4),IF(E74&gt;=0.16,((J74+3*J75+2*J76+3*J77+J78)/10)))))</f>
        <v>0.23400000000000001</v>
      </c>
      <c r="L74" s="203">
        <f t="shared" ref="L74" si="83">ROUND(+(D69+D74)/2*(C74-C69),3)</f>
        <v>1.4E-2</v>
      </c>
      <c r="M74" s="203">
        <f t="shared" ref="M74" si="84">ROUND(+K74*L74,4)</f>
        <v>3.3E-3</v>
      </c>
      <c r="N74" s="206">
        <f t="shared" ref="N74" si="85">ROUND(+M74/$M$103*100,2)</f>
        <v>0.66</v>
      </c>
      <c r="O74" s="207"/>
      <c r="P74" s="208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 spans="1:26" s="47" customFormat="1" ht="13.5" customHeight="1" x14ac:dyDescent="0.25">
      <c r="A75" s="39"/>
      <c r="B75" s="224"/>
      <c r="C75" s="204"/>
      <c r="D75" s="204"/>
      <c r="E75" s="204"/>
      <c r="F75" s="55" t="s">
        <v>45</v>
      </c>
      <c r="G75" s="56" t="str">
        <f t="shared" ref="G75" si="86">IF(E74&lt;0.125,"NA",IF(0.125&lt;=E74,(0.2*E74)))</f>
        <v>NA</v>
      </c>
      <c r="H75" s="57"/>
      <c r="I75" s="58"/>
      <c r="J75" s="59"/>
      <c r="K75" s="204"/>
      <c r="L75" s="204"/>
      <c r="M75" s="204"/>
      <c r="N75" s="204"/>
      <c r="O75" s="204"/>
      <c r="P75" s="20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 spans="1:26" s="47" customFormat="1" ht="13.5" customHeight="1" x14ac:dyDescent="0.25">
      <c r="A76" s="39"/>
      <c r="B76" s="224"/>
      <c r="C76" s="204"/>
      <c r="D76" s="204"/>
      <c r="E76" s="204"/>
      <c r="F76" s="55" t="s">
        <v>46</v>
      </c>
      <c r="G76" s="56">
        <f t="shared" ref="G76" si="87">+E74*0.4</f>
        <v>1.6E-2</v>
      </c>
      <c r="H76" s="57"/>
      <c r="I76" s="58"/>
      <c r="J76" s="59">
        <v>0.23400000000000001</v>
      </c>
      <c r="K76" s="204"/>
      <c r="L76" s="204"/>
      <c r="M76" s="204"/>
      <c r="N76" s="204"/>
      <c r="O76" s="204"/>
      <c r="P76" s="20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 spans="1:26" s="47" customFormat="1" ht="13.5" customHeight="1" x14ac:dyDescent="0.25">
      <c r="A77" s="39"/>
      <c r="B77" s="224"/>
      <c r="C77" s="204"/>
      <c r="D77" s="204"/>
      <c r="E77" s="204"/>
      <c r="F77" s="55" t="s">
        <v>47</v>
      </c>
      <c r="G77" s="56" t="str">
        <f t="shared" ref="G77" si="88">IF(E74&lt;0.125,"NA",IF(0.125&lt;=E74,(0.8*E74)))</f>
        <v>NA</v>
      </c>
      <c r="H77" s="57"/>
      <c r="I77" s="58"/>
      <c r="J77" s="59"/>
      <c r="K77" s="204"/>
      <c r="L77" s="204"/>
      <c r="M77" s="204"/>
      <c r="N77" s="204"/>
      <c r="O77" s="204"/>
      <c r="P77" s="20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 spans="1:26" s="47" customFormat="1" ht="13.5" customHeight="1" thickBot="1" x14ac:dyDescent="0.3">
      <c r="A78" s="39"/>
      <c r="B78" s="225"/>
      <c r="C78" s="205"/>
      <c r="D78" s="205"/>
      <c r="E78" s="205"/>
      <c r="F78" s="60" t="s">
        <v>48</v>
      </c>
      <c r="G78" s="61">
        <f t="shared" ref="G78" si="89">+E74</f>
        <v>0.04</v>
      </c>
      <c r="H78" s="62"/>
      <c r="I78" s="63"/>
      <c r="J78" s="64">
        <v>0.04</v>
      </c>
      <c r="K78" s="205"/>
      <c r="L78" s="205"/>
      <c r="M78" s="205"/>
      <c r="N78" s="205"/>
      <c r="O78" s="205"/>
      <c r="P78" s="210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 spans="1:26" s="47" customFormat="1" ht="13.5" customHeight="1" x14ac:dyDescent="0.25">
      <c r="A79" s="39"/>
      <c r="B79" s="223">
        <v>13</v>
      </c>
      <c r="C79" s="226">
        <f>+C74+0.3</f>
        <v>2.9</v>
      </c>
      <c r="D79" s="203">
        <v>0</v>
      </c>
      <c r="E79" s="203">
        <v>3.2000000000000001E-2</v>
      </c>
      <c r="F79" s="50" t="s">
        <v>44</v>
      </c>
      <c r="G79" s="51">
        <v>0</v>
      </c>
      <c r="H79" s="52"/>
      <c r="I79" s="53"/>
      <c r="J79" s="54"/>
      <c r="K79" s="203">
        <f>+IF(E79&lt;=0.12,(J81),(IF(E79&lt;0.16,((J80+2*J81+J82)/4),IF(E79&gt;=0.16,((J79+3*J80+2*J81+3*J82+J83)/10)))))</f>
        <v>7.0000000000000001E-3</v>
      </c>
      <c r="L79" s="203">
        <f>ROUND(+(D74+D79)/2*(C79-C74),3)</f>
        <v>1.0999999999999999E-2</v>
      </c>
      <c r="M79" s="203">
        <f t="shared" ref="M79" si="90">ROUND(+K79*L79,4)</f>
        <v>1E-4</v>
      </c>
      <c r="N79" s="206">
        <f t="shared" ref="N79" si="91">ROUND(+M79/$M$103*100,2)</f>
        <v>0.02</v>
      </c>
      <c r="O79" s="207"/>
      <c r="P79" s="208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s="47" customFormat="1" ht="13.5" customHeight="1" x14ac:dyDescent="0.25">
      <c r="A80" s="39"/>
      <c r="B80" s="224"/>
      <c r="C80" s="204"/>
      <c r="D80" s="204"/>
      <c r="E80" s="204"/>
      <c r="F80" s="55" t="s">
        <v>45</v>
      </c>
      <c r="G80" s="56" t="str">
        <f t="shared" ref="G80" si="92">IF(E79&lt;0.125,"NA",IF(0.125&lt;=E79,(0.2*E79)))</f>
        <v>NA</v>
      </c>
      <c r="H80" s="57"/>
      <c r="I80" s="58"/>
      <c r="J80" s="59"/>
      <c r="K80" s="204"/>
      <c r="L80" s="204"/>
      <c r="M80" s="204"/>
      <c r="N80" s="204"/>
      <c r="O80" s="204"/>
      <c r="P80" s="20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 spans="1:26" s="47" customFormat="1" ht="13.5" customHeight="1" x14ac:dyDescent="0.25">
      <c r="A81" s="39"/>
      <c r="B81" s="224"/>
      <c r="C81" s="204"/>
      <c r="D81" s="204"/>
      <c r="E81" s="204"/>
      <c r="F81" s="55" t="s">
        <v>46</v>
      </c>
      <c r="G81" s="56">
        <f t="shared" ref="G81" si="93">+E79*0.4</f>
        <v>1.2800000000000001E-2</v>
      </c>
      <c r="H81" s="57"/>
      <c r="I81" s="58"/>
      <c r="J81" s="59">
        <v>7.0000000000000001E-3</v>
      </c>
      <c r="K81" s="204"/>
      <c r="L81" s="204"/>
      <c r="M81" s="204"/>
      <c r="N81" s="204"/>
      <c r="O81" s="204"/>
      <c r="P81" s="20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 spans="1:26" s="47" customFormat="1" ht="13.5" customHeight="1" x14ac:dyDescent="0.25">
      <c r="A82" s="39"/>
      <c r="B82" s="224"/>
      <c r="C82" s="204"/>
      <c r="D82" s="204"/>
      <c r="E82" s="204"/>
      <c r="F82" s="55" t="s">
        <v>47</v>
      </c>
      <c r="G82" s="56" t="str">
        <f t="shared" ref="G82" si="94">IF(E79&lt;0.125,"NA",IF(0.125&lt;=E79,(0.8*E79)))</f>
        <v>NA</v>
      </c>
      <c r="H82" s="57"/>
      <c r="I82" s="58"/>
      <c r="J82" s="59"/>
      <c r="K82" s="204"/>
      <c r="L82" s="204"/>
      <c r="M82" s="204"/>
      <c r="N82" s="204"/>
      <c r="O82" s="204"/>
      <c r="P82" s="20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 spans="1:26" s="47" customFormat="1" ht="13.5" customHeight="1" thickBot="1" x14ac:dyDescent="0.3">
      <c r="A83" s="39"/>
      <c r="B83" s="225"/>
      <c r="C83" s="205"/>
      <c r="D83" s="205"/>
      <c r="E83" s="205"/>
      <c r="F83" s="60" t="s">
        <v>48</v>
      </c>
      <c r="G83" s="61">
        <f t="shared" ref="G83" si="95">+E79</f>
        <v>3.2000000000000001E-2</v>
      </c>
      <c r="H83" s="62"/>
      <c r="I83" s="63"/>
      <c r="J83" s="64"/>
      <c r="K83" s="205"/>
      <c r="L83" s="205"/>
      <c r="M83" s="205"/>
      <c r="N83" s="205"/>
      <c r="O83" s="205"/>
      <c r="P83" s="210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 spans="1:26" s="65" customFormat="1" ht="12.75" customHeight="1" x14ac:dyDescent="0.2">
      <c r="B84" s="347" t="s">
        <v>49</v>
      </c>
      <c r="C84" s="349"/>
      <c r="D84" s="350"/>
      <c r="E84" s="350"/>
      <c r="F84" s="350"/>
      <c r="G84" s="350"/>
      <c r="H84" s="350"/>
      <c r="I84" s="350"/>
      <c r="J84" s="350"/>
      <c r="K84" s="350"/>
      <c r="L84" s="350"/>
      <c r="M84" s="350"/>
      <c r="N84" s="350"/>
      <c r="O84" s="350"/>
      <c r="P84" s="351"/>
    </row>
    <row r="85" spans="1:26" s="65" customFormat="1" ht="14.1" customHeight="1" x14ac:dyDescent="0.2">
      <c r="B85" s="348"/>
      <c r="C85" s="217"/>
      <c r="D85" s="218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352"/>
    </row>
    <row r="86" spans="1:26" s="65" customFormat="1" ht="14.1" customHeight="1" x14ac:dyDescent="0.2">
      <c r="B86" s="348"/>
      <c r="C86" s="217"/>
      <c r="D86" s="218"/>
      <c r="E86" s="218"/>
      <c r="F86" s="218"/>
      <c r="G86" s="218"/>
      <c r="H86" s="218"/>
      <c r="I86" s="218"/>
      <c r="J86" s="218"/>
      <c r="K86" s="218"/>
      <c r="L86" s="218"/>
      <c r="M86" s="218"/>
      <c r="N86" s="218"/>
      <c r="O86" s="218"/>
      <c r="P86" s="352"/>
    </row>
    <row r="87" spans="1:26" s="65" customFormat="1" ht="14.1" customHeight="1" x14ac:dyDescent="0.2">
      <c r="B87" s="348"/>
      <c r="C87" s="217"/>
      <c r="D87" s="218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352"/>
    </row>
    <row r="88" spans="1:26" s="65" customFormat="1" ht="14.1" customHeight="1" x14ac:dyDescent="0.2">
      <c r="B88" s="348"/>
      <c r="C88" s="217"/>
      <c r="D88" s="218"/>
      <c r="E88" s="218"/>
      <c r="F88" s="218"/>
      <c r="G88" s="218"/>
      <c r="H88" s="218"/>
      <c r="I88" s="218"/>
      <c r="J88" s="218"/>
      <c r="K88" s="218"/>
      <c r="L88" s="218"/>
      <c r="M88" s="218"/>
      <c r="N88" s="218"/>
      <c r="O88" s="218"/>
      <c r="P88" s="352"/>
    </row>
    <row r="89" spans="1:26" s="65" customFormat="1" ht="14.1" customHeight="1" thickBot="1" x14ac:dyDescent="0.25">
      <c r="B89" s="348"/>
      <c r="C89" s="217"/>
      <c r="D89" s="218"/>
      <c r="E89" s="218"/>
      <c r="F89" s="218"/>
      <c r="G89" s="218"/>
      <c r="H89" s="218"/>
      <c r="I89" s="353"/>
      <c r="J89" s="218"/>
      <c r="K89" s="218"/>
      <c r="L89" s="218"/>
      <c r="M89" s="218"/>
      <c r="N89" s="218"/>
      <c r="O89" s="218"/>
      <c r="P89" s="352"/>
    </row>
    <row r="90" spans="1:26" s="65" customFormat="1" ht="28.5" customHeight="1" thickBot="1" x14ac:dyDescent="0.25">
      <c r="A90" s="67"/>
      <c r="B90" s="84" t="s">
        <v>50</v>
      </c>
      <c r="C90" s="190"/>
      <c r="D90" s="190"/>
      <c r="E90" s="190"/>
      <c r="F90" s="190"/>
      <c r="G90" s="190"/>
      <c r="H90" s="191"/>
      <c r="I90" s="192"/>
      <c r="J90" s="84" t="s">
        <v>52</v>
      </c>
      <c r="K90" s="190" t="s">
        <v>53</v>
      </c>
      <c r="L90" s="190"/>
      <c r="M90" s="190"/>
      <c r="N90" s="190"/>
      <c r="O90" s="190"/>
      <c r="P90" s="191"/>
    </row>
    <row r="91" spans="1:26" s="65" customFormat="1" ht="28.5" customHeight="1" thickBot="1" x14ac:dyDescent="0.25">
      <c r="B91" s="85" t="s">
        <v>54</v>
      </c>
      <c r="C91" s="194" t="s">
        <v>55</v>
      </c>
      <c r="D91" s="194"/>
      <c r="E91" s="194"/>
      <c r="F91" s="194"/>
      <c r="G91" s="194"/>
      <c r="H91" s="195"/>
      <c r="I91" s="193"/>
      <c r="J91" s="85" t="s">
        <v>56</v>
      </c>
      <c r="K91" s="194" t="s">
        <v>57</v>
      </c>
      <c r="L91" s="194"/>
      <c r="M91" s="194"/>
      <c r="N91" s="194"/>
      <c r="O91" s="194"/>
      <c r="P91" s="195"/>
    </row>
    <row r="92" spans="1:26" s="5" customFormat="1" ht="13.5" customHeight="1" x14ac:dyDescent="0.25">
      <c r="A92" s="68"/>
      <c r="B92" s="196">
        <f>+B29</f>
        <v>3</v>
      </c>
      <c r="C92" s="199">
        <f>+C24</f>
        <v>0.60000000000000009</v>
      </c>
      <c r="D92" s="201">
        <f>+D24</f>
        <v>0.40600000000000003</v>
      </c>
      <c r="E92" s="201">
        <f>+E29</f>
        <v>0.43099999999999999</v>
      </c>
      <c r="F92" s="69" t="s">
        <v>44</v>
      </c>
      <c r="G92" s="69">
        <v>0.01</v>
      </c>
      <c r="H92" s="70"/>
      <c r="I92" s="71"/>
      <c r="J92" s="72">
        <v>0.441</v>
      </c>
      <c r="K92" s="202">
        <f>+AVERAGE(J92:J102)</f>
        <v>1.1501818181818182</v>
      </c>
      <c r="L92" s="182">
        <f>ROUND(+(D92+D97)/2*(C97-C92),3)</f>
        <v>6.6000000000000003E-2</v>
      </c>
      <c r="M92" s="185">
        <f>ROUND(+K92*L92,4)</f>
        <v>7.5899999999999995E-2</v>
      </c>
      <c r="N92" s="182">
        <f>ROUND(+M92/$M$103*100,2)</f>
        <v>15.28</v>
      </c>
      <c r="O92" s="182"/>
      <c r="P92" s="18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spans="1:26" s="5" customFormat="1" ht="13.5" customHeight="1" x14ac:dyDescent="0.25">
      <c r="A93" s="68"/>
      <c r="B93" s="197"/>
      <c r="C93" s="183"/>
      <c r="D93" s="183"/>
      <c r="E93" s="183"/>
      <c r="F93" s="73" t="s">
        <v>58</v>
      </c>
      <c r="G93" s="74">
        <f>+E92*0.1</f>
        <v>4.3099999999999999E-2</v>
      </c>
      <c r="H93" s="75"/>
      <c r="I93" s="76"/>
      <c r="J93" s="77">
        <v>0.93700000000000006</v>
      </c>
      <c r="K93" s="183"/>
      <c r="L93" s="183"/>
      <c r="M93" s="183"/>
      <c r="N93" s="183"/>
      <c r="O93" s="183"/>
      <c r="P93" s="187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spans="1:26" s="5" customFormat="1" ht="13.5" customHeight="1" x14ac:dyDescent="0.25">
      <c r="A94" s="68"/>
      <c r="B94" s="197"/>
      <c r="C94" s="183"/>
      <c r="D94" s="183"/>
      <c r="E94" s="183"/>
      <c r="F94" s="73" t="s">
        <v>59</v>
      </c>
      <c r="G94" s="74">
        <f>+E92*0.2</f>
        <v>8.6199999999999999E-2</v>
      </c>
      <c r="H94" s="75"/>
      <c r="I94" s="76"/>
      <c r="J94" s="77">
        <v>0.93100000000000005</v>
      </c>
      <c r="K94" s="183"/>
      <c r="L94" s="183"/>
      <c r="M94" s="183"/>
      <c r="N94" s="183"/>
      <c r="O94" s="183"/>
      <c r="P94" s="187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spans="1:26" s="5" customFormat="1" ht="13.5" customHeight="1" x14ac:dyDescent="0.25">
      <c r="A95" s="68"/>
      <c r="B95" s="197"/>
      <c r="C95" s="183"/>
      <c r="D95" s="183"/>
      <c r="E95" s="183"/>
      <c r="F95" s="73" t="s">
        <v>60</v>
      </c>
      <c r="G95" s="74">
        <f>+E92*0.3</f>
        <v>0.1293</v>
      </c>
      <c r="H95" s="75"/>
      <c r="I95" s="76"/>
      <c r="J95" s="77">
        <v>1.6819999999999999</v>
      </c>
      <c r="K95" s="183"/>
      <c r="L95" s="183"/>
      <c r="M95" s="183"/>
      <c r="N95" s="183"/>
      <c r="O95" s="183"/>
      <c r="P95" s="187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spans="1:26" s="5" customFormat="1" ht="13.5" customHeight="1" x14ac:dyDescent="0.25">
      <c r="A96" s="68"/>
      <c r="B96" s="197"/>
      <c r="C96" s="200"/>
      <c r="D96" s="200"/>
      <c r="E96" s="183"/>
      <c r="F96" s="73" t="s">
        <v>61</v>
      </c>
      <c r="G96" s="74">
        <f>+E92*0.4</f>
        <v>0.1724</v>
      </c>
      <c r="H96" s="75"/>
      <c r="I96" s="76"/>
      <c r="J96" s="77">
        <v>1.621</v>
      </c>
      <c r="K96" s="183"/>
      <c r="L96" s="183"/>
      <c r="M96" s="183"/>
      <c r="N96" s="183"/>
      <c r="O96" s="183"/>
      <c r="P96" s="187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spans="1:26" s="5" customFormat="1" ht="13.5" customHeight="1" x14ac:dyDescent="0.25">
      <c r="A97" s="68"/>
      <c r="B97" s="197"/>
      <c r="C97" s="188">
        <f>+C29</f>
        <v>0.8</v>
      </c>
      <c r="D97" s="189">
        <f>+D29</f>
        <v>0.25600000000000001</v>
      </c>
      <c r="E97" s="183"/>
      <c r="F97" s="73" t="s">
        <v>62</v>
      </c>
      <c r="G97" s="74">
        <f>+E92*0.5</f>
        <v>0.2155</v>
      </c>
      <c r="H97" s="75"/>
      <c r="I97" s="76"/>
      <c r="J97" s="77">
        <v>1.3440000000000001</v>
      </c>
      <c r="K97" s="183"/>
      <c r="L97" s="183"/>
      <c r="M97" s="183"/>
      <c r="N97" s="183"/>
      <c r="O97" s="183"/>
      <c r="P97" s="187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spans="1:26" s="5" customFormat="1" ht="13.5" customHeight="1" x14ac:dyDescent="0.25">
      <c r="A98" s="68"/>
      <c r="B98" s="197"/>
      <c r="C98" s="183"/>
      <c r="D98" s="183"/>
      <c r="E98" s="183"/>
      <c r="F98" s="73" t="s">
        <v>63</v>
      </c>
      <c r="G98" s="74">
        <f>+E92*0.6</f>
        <v>0.2586</v>
      </c>
      <c r="H98" s="75"/>
      <c r="I98" s="76"/>
      <c r="J98" s="77">
        <v>1.026</v>
      </c>
      <c r="K98" s="183"/>
      <c r="L98" s="183"/>
      <c r="M98" s="183"/>
      <c r="N98" s="183"/>
      <c r="O98" s="183"/>
      <c r="P98" s="187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spans="1:26" s="5" customFormat="1" ht="13.5" customHeight="1" x14ac:dyDescent="0.25">
      <c r="A99" s="68"/>
      <c r="B99" s="197"/>
      <c r="C99" s="183"/>
      <c r="D99" s="183"/>
      <c r="E99" s="183"/>
      <c r="F99" s="73" t="s">
        <v>64</v>
      </c>
      <c r="G99" s="74">
        <f>+E92*0.7</f>
        <v>0.30169999999999997</v>
      </c>
      <c r="H99" s="75"/>
      <c r="I99" s="76"/>
      <c r="J99" s="77">
        <v>1.0429999999999999</v>
      </c>
      <c r="K99" s="183"/>
      <c r="L99" s="183"/>
      <c r="M99" s="183"/>
      <c r="N99" s="183"/>
      <c r="O99" s="183"/>
      <c r="P99" s="187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spans="1:26" s="5" customFormat="1" ht="13.5" customHeight="1" x14ac:dyDescent="0.25">
      <c r="A100" s="68"/>
      <c r="B100" s="197"/>
      <c r="C100" s="183"/>
      <c r="D100" s="183"/>
      <c r="E100" s="183"/>
      <c r="F100" s="73" t="s">
        <v>65</v>
      </c>
      <c r="G100" s="74">
        <f>+E92*0.8</f>
        <v>0.3448</v>
      </c>
      <c r="H100" s="75"/>
      <c r="I100" s="76"/>
      <c r="J100" s="77">
        <v>1.0429999999999999</v>
      </c>
      <c r="K100" s="183"/>
      <c r="L100" s="183"/>
      <c r="M100" s="183"/>
      <c r="N100" s="183"/>
      <c r="O100" s="183"/>
      <c r="P100" s="187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spans="1:26" s="5" customFormat="1" ht="13.5" customHeight="1" x14ac:dyDescent="0.25">
      <c r="A101" s="68"/>
      <c r="B101" s="197"/>
      <c r="C101" s="183"/>
      <c r="D101" s="183"/>
      <c r="E101" s="183"/>
      <c r="F101" s="73" t="s">
        <v>66</v>
      </c>
      <c r="G101" s="74">
        <f>+E92*0.9</f>
        <v>0.38790000000000002</v>
      </c>
      <c r="H101" s="75"/>
      <c r="I101" s="76"/>
      <c r="J101" s="77">
        <v>1.2629999999999999</v>
      </c>
      <c r="K101" s="183"/>
      <c r="L101" s="183"/>
      <c r="M101" s="183"/>
      <c r="N101" s="183"/>
      <c r="O101" s="183"/>
      <c r="P101" s="187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spans="1:26" s="5" customFormat="1" ht="15.75" thickBot="1" x14ac:dyDescent="0.3">
      <c r="A102" s="68"/>
      <c r="B102" s="198"/>
      <c r="C102" s="184"/>
      <c r="D102" s="184"/>
      <c r="E102" s="184"/>
      <c r="F102" s="78" t="s">
        <v>67</v>
      </c>
      <c r="G102" s="78">
        <f>+E92</f>
        <v>0.43099999999999999</v>
      </c>
      <c r="H102" s="79"/>
      <c r="I102" s="80"/>
      <c r="J102" s="81">
        <v>1.321</v>
      </c>
      <c r="K102" s="184"/>
      <c r="L102" s="184"/>
      <c r="M102" s="184"/>
      <c r="N102" s="184"/>
      <c r="O102" s="183"/>
      <c r="P102" s="187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spans="1:26" s="5" customFormat="1" ht="15" customHeight="1" x14ac:dyDescent="0.25">
      <c r="A103" s="68"/>
      <c r="B103" s="170" t="s">
        <v>68</v>
      </c>
      <c r="C103" s="170"/>
      <c r="D103" s="170"/>
      <c r="E103" s="170"/>
      <c r="F103" s="170"/>
      <c r="G103" s="170"/>
      <c r="H103" s="170"/>
      <c r="I103" s="170"/>
      <c r="J103" s="170"/>
      <c r="K103" s="93">
        <f>ROUND(+M103/L103,3)</f>
        <v>0.93500000000000005</v>
      </c>
      <c r="L103" s="94">
        <f>SUM(L19:L102)</f>
        <v>0.53100000000000014</v>
      </c>
      <c r="M103" s="94">
        <f>SUM(M19:M102)</f>
        <v>0.49659999999999993</v>
      </c>
      <c r="N103" s="95">
        <f>ROUND(SUM(N19:N102),0)</f>
        <v>100</v>
      </c>
      <c r="O103" s="172" t="s">
        <v>69</v>
      </c>
      <c r="P103" s="174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spans="1:26" s="5" customFormat="1" ht="15.75" thickBot="1" x14ac:dyDescent="0.3">
      <c r="A104" s="82"/>
      <c r="B104" s="171"/>
      <c r="C104" s="171"/>
      <c r="D104" s="171"/>
      <c r="E104" s="171"/>
      <c r="F104" s="171"/>
      <c r="G104" s="171"/>
      <c r="H104" s="171"/>
      <c r="I104" s="171"/>
      <c r="J104" s="171"/>
      <c r="K104" s="96" t="s">
        <v>70</v>
      </c>
      <c r="L104" s="97" t="s">
        <v>102</v>
      </c>
      <c r="M104" s="97" t="s">
        <v>103</v>
      </c>
      <c r="N104" s="98" t="s">
        <v>71</v>
      </c>
      <c r="O104" s="173"/>
      <c r="P104" s="175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spans="1:26" ht="15" customHeight="1" thickBot="1" x14ac:dyDescent="0.3">
      <c r="A105" s="86"/>
      <c r="B105" s="176" t="s">
        <v>72</v>
      </c>
      <c r="C105" s="177"/>
      <c r="D105" s="177"/>
      <c r="E105" s="177"/>
      <c r="F105" s="178"/>
      <c r="G105" s="176" t="s">
        <v>73</v>
      </c>
      <c r="H105" s="177"/>
      <c r="I105" s="177"/>
      <c r="J105" s="177"/>
      <c r="K105" s="178"/>
      <c r="L105" s="179" t="s">
        <v>105</v>
      </c>
      <c r="M105" s="180"/>
      <c r="N105" s="180"/>
      <c r="O105" s="180"/>
      <c r="P105" s="181"/>
    </row>
    <row r="106" spans="1:26" ht="15" customHeight="1" x14ac:dyDescent="0.25">
      <c r="A106" s="86"/>
      <c r="B106" s="136"/>
      <c r="C106" s="137"/>
      <c r="D106" s="137"/>
      <c r="E106" s="137"/>
      <c r="F106" s="138"/>
      <c r="G106" s="136"/>
      <c r="H106" s="137"/>
      <c r="I106" s="137"/>
      <c r="J106" s="137"/>
      <c r="K106" s="138"/>
      <c r="L106" s="145" t="s">
        <v>74</v>
      </c>
      <c r="M106" s="146"/>
      <c r="N106" s="147"/>
      <c r="O106" s="148">
        <f>+AVERAGE(E38:E83)</f>
        <v>0.10722222222222223</v>
      </c>
      <c r="P106" s="149"/>
    </row>
    <row r="107" spans="1:26" ht="15" customHeight="1" thickBot="1" x14ac:dyDescent="0.3">
      <c r="A107" s="86"/>
      <c r="B107" s="139"/>
      <c r="C107" s="140"/>
      <c r="D107" s="140"/>
      <c r="E107" s="140"/>
      <c r="F107" s="141"/>
      <c r="G107" s="139"/>
      <c r="H107" s="140"/>
      <c r="I107" s="140"/>
      <c r="J107" s="140"/>
      <c r="K107" s="141"/>
      <c r="L107" s="150" t="s">
        <v>75</v>
      </c>
      <c r="M107" s="151"/>
      <c r="N107" s="152"/>
      <c r="O107" s="153">
        <f>+MAX(E38:E83)</f>
        <v>0.26300000000000001</v>
      </c>
      <c r="P107" s="154"/>
    </row>
    <row r="108" spans="1:26" ht="18.600000000000001" customHeight="1" x14ac:dyDescent="0.25">
      <c r="A108" s="87"/>
      <c r="B108" s="139"/>
      <c r="C108" s="140"/>
      <c r="D108" s="140"/>
      <c r="E108" s="140"/>
      <c r="F108" s="141"/>
      <c r="G108" s="139"/>
      <c r="H108" s="140"/>
      <c r="I108" s="140"/>
      <c r="J108" s="140"/>
      <c r="K108" s="141"/>
      <c r="L108" s="155"/>
      <c r="M108" s="156"/>
      <c r="N108" s="156"/>
      <c r="O108" s="156"/>
      <c r="P108" s="157"/>
    </row>
    <row r="109" spans="1:26" ht="75" customHeight="1" x14ac:dyDescent="0.25">
      <c r="A109" s="92"/>
      <c r="B109" s="139"/>
      <c r="C109" s="140"/>
      <c r="D109" s="140"/>
      <c r="E109" s="140"/>
      <c r="F109" s="141"/>
      <c r="G109" s="139"/>
      <c r="H109" s="140"/>
      <c r="I109" s="140"/>
      <c r="J109" s="140"/>
      <c r="K109" s="141"/>
      <c r="L109" s="158"/>
      <c r="M109" s="159"/>
      <c r="N109" s="159"/>
      <c r="O109" s="159"/>
      <c r="P109" s="160"/>
    </row>
    <row r="110" spans="1:26" ht="15" customHeight="1" thickBot="1" x14ac:dyDescent="0.3">
      <c r="A110" s="86"/>
      <c r="B110" s="139"/>
      <c r="C110" s="140"/>
      <c r="D110" s="140"/>
      <c r="E110" s="140"/>
      <c r="F110" s="141"/>
      <c r="G110" s="139"/>
      <c r="H110" s="140"/>
      <c r="I110" s="140"/>
      <c r="J110" s="140"/>
      <c r="K110" s="141"/>
      <c r="L110" s="161"/>
      <c r="M110" s="162"/>
      <c r="N110" s="162"/>
      <c r="O110" s="162"/>
      <c r="P110" s="163"/>
    </row>
    <row r="111" spans="1:26" ht="15.75" customHeight="1" thickBot="1" x14ac:dyDescent="0.3">
      <c r="A111" s="86"/>
      <c r="B111" s="139"/>
      <c r="C111" s="140"/>
      <c r="D111" s="140"/>
      <c r="E111" s="140"/>
      <c r="F111" s="141"/>
      <c r="G111" s="139"/>
      <c r="H111" s="140"/>
      <c r="I111" s="140"/>
      <c r="J111" s="140"/>
      <c r="K111" s="141"/>
      <c r="L111" s="164" t="s">
        <v>76</v>
      </c>
      <c r="M111" s="165"/>
      <c r="N111" s="165"/>
      <c r="O111" s="166"/>
      <c r="P111" s="88">
        <v>12.9</v>
      </c>
    </row>
    <row r="112" spans="1:26" ht="14.45" customHeight="1" thickBot="1" x14ac:dyDescent="0.3">
      <c r="A112" s="86"/>
      <c r="B112" s="142"/>
      <c r="C112" s="143"/>
      <c r="D112" s="143"/>
      <c r="E112" s="143"/>
      <c r="F112" s="144"/>
      <c r="G112" s="142"/>
      <c r="H112" s="143"/>
      <c r="I112" s="143"/>
      <c r="J112" s="143"/>
      <c r="K112" s="144"/>
      <c r="L112" s="167" t="s">
        <v>104</v>
      </c>
      <c r="M112" s="168"/>
      <c r="N112" s="168"/>
      <c r="O112" s="169"/>
      <c r="P112" s="88">
        <v>1.1244000000000001</v>
      </c>
    </row>
    <row r="113" spans="1:16" ht="23.45" customHeight="1" thickBot="1" x14ac:dyDescent="0.3">
      <c r="A113" s="89"/>
      <c r="B113" s="315"/>
      <c r="C113" s="315"/>
      <c r="D113" s="315"/>
      <c r="E113" s="315"/>
      <c r="F113" s="315"/>
      <c r="G113" s="315"/>
      <c r="H113" s="315"/>
      <c r="I113" s="315"/>
      <c r="J113" s="315"/>
      <c r="K113" s="315"/>
      <c r="L113" s="315"/>
      <c r="M113" s="315"/>
      <c r="N113" s="315"/>
      <c r="O113" s="315"/>
      <c r="P113" s="315"/>
    </row>
    <row r="114" spans="1:16" ht="15.75" thickBot="1" x14ac:dyDescent="0.3">
      <c r="A114" s="125" t="s">
        <v>77</v>
      </c>
      <c r="B114" s="126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7"/>
    </row>
    <row r="115" spans="1:16" ht="180" customHeight="1" thickBot="1" x14ac:dyDescent="0.3">
      <c r="A115" s="83"/>
      <c r="B115" s="344"/>
      <c r="C115" s="345"/>
      <c r="D115" s="345"/>
      <c r="E115" s="345"/>
      <c r="F115" s="345"/>
      <c r="G115" s="345"/>
      <c r="H115" s="345"/>
      <c r="I115" s="345"/>
      <c r="J115" s="345"/>
      <c r="K115" s="345"/>
      <c r="L115" s="345"/>
      <c r="M115" s="345"/>
      <c r="N115" s="345"/>
      <c r="O115" s="345"/>
      <c r="P115" s="346"/>
    </row>
    <row r="116" spans="1:16" s="91" customFormat="1" ht="21.75" customHeight="1" thickBot="1" x14ac:dyDescent="0.3">
      <c r="A116" s="99"/>
      <c r="B116" s="316" t="s">
        <v>115</v>
      </c>
      <c r="C116" s="317"/>
      <c r="D116" s="317"/>
      <c r="E116" s="317"/>
      <c r="F116" s="317" t="s">
        <v>106</v>
      </c>
      <c r="G116" s="317"/>
      <c r="H116" s="317"/>
      <c r="I116" s="317"/>
      <c r="J116" s="317"/>
      <c r="K116" s="317"/>
      <c r="L116" s="317"/>
      <c r="M116" s="317"/>
      <c r="N116" s="317"/>
      <c r="O116" s="317"/>
      <c r="P116" s="318"/>
    </row>
    <row r="117" spans="1:16" s="91" customFormat="1" ht="16.899999999999999" customHeight="1" thickBot="1" x14ac:dyDescent="0.3">
      <c r="A117" s="90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20"/>
    </row>
    <row r="118" spans="1:16" s="65" customFormat="1" ht="15.75" customHeight="1" thickBot="1" x14ac:dyDescent="0.25">
      <c r="A118" s="121" t="s">
        <v>78</v>
      </c>
      <c r="B118" s="122"/>
      <c r="C118" s="122"/>
      <c r="D118" s="122"/>
      <c r="E118" s="122"/>
      <c r="F118" s="122"/>
      <c r="G118" s="122"/>
      <c r="H118" s="122"/>
      <c r="I118" s="122"/>
      <c r="J118" s="122" t="s">
        <v>79</v>
      </c>
      <c r="K118" s="122"/>
      <c r="L118" s="122"/>
      <c r="M118" s="122"/>
      <c r="N118" s="122"/>
      <c r="O118" s="122"/>
      <c r="P118" s="123"/>
    </row>
  </sheetData>
  <mergeCells count="234">
    <mergeCell ref="B4:P4"/>
    <mergeCell ref="C5:D5"/>
    <mergeCell ref="H5:P5"/>
    <mergeCell ref="B2:D3"/>
    <mergeCell ref="E2:N3"/>
    <mergeCell ref="O2:P3"/>
    <mergeCell ref="B6:C6"/>
    <mergeCell ref="D6:I6"/>
    <mergeCell ref="K6:L6"/>
    <mergeCell ref="M6:N6"/>
    <mergeCell ref="B7:B8"/>
    <mergeCell ref="C7:D7"/>
    <mergeCell ref="F7:I7"/>
    <mergeCell ref="J7:M7"/>
    <mergeCell ref="N7:O7"/>
    <mergeCell ref="C8:D8"/>
    <mergeCell ref="F8:I8"/>
    <mergeCell ref="J8:M8"/>
    <mergeCell ref="N8:O8"/>
    <mergeCell ref="B9:B12"/>
    <mergeCell ref="C9:C10"/>
    <mergeCell ref="D9:E9"/>
    <mergeCell ref="G9:G10"/>
    <mergeCell ref="H9:I9"/>
    <mergeCell ref="K9:K10"/>
    <mergeCell ref="L9:P10"/>
    <mergeCell ref="O11:P11"/>
    <mergeCell ref="C12:D12"/>
    <mergeCell ref="F12:G12"/>
    <mergeCell ref="I12:J12"/>
    <mergeCell ref="L12:M12"/>
    <mergeCell ref="O12:P12"/>
    <mergeCell ref="D10:E10"/>
    <mergeCell ref="H10:I10"/>
    <mergeCell ref="C11:D11"/>
    <mergeCell ref="F11:G11"/>
    <mergeCell ref="I11:J11"/>
    <mergeCell ref="L11:M11"/>
    <mergeCell ref="F15:I15"/>
    <mergeCell ref="J15:M15"/>
    <mergeCell ref="N15:P15"/>
    <mergeCell ref="B16:B17"/>
    <mergeCell ref="C16:C17"/>
    <mergeCell ref="D16:D17"/>
    <mergeCell ref="E16:E17"/>
    <mergeCell ref="F16:G17"/>
    <mergeCell ref="H16:H17"/>
    <mergeCell ref="I16:I17"/>
    <mergeCell ref="B13:B15"/>
    <mergeCell ref="C13:E13"/>
    <mergeCell ref="F13:I13"/>
    <mergeCell ref="J13:M13"/>
    <mergeCell ref="N13:P13"/>
    <mergeCell ref="C14:E14"/>
    <mergeCell ref="F14:I14"/>
    <mergeCell ref="J14:M14"/>
    <mergeCell ref="N14:P14"/>
    <mergeCell ref="C15:E15"/>
    <mergeCell ref="M19:M23"/>
    <mergeCell ref="N19:N23"/>
    <mergeCell ref="O19:O23"/>
    <mergeCell ref="P19:P23"/>
    <mergeCell ref="B24:B28"/>
    <mergeCell ref="C24:C28"/>
    <mergeCell ref="D24:D28"/>
    <mergeCell ref="E24:E28"/>
    <mergeCell ref="K24:K28"/>
    <mergeCell ref="L24:L28"/>
    <mergeCell ref="B19:B23"/>
    <mergeCell ref="C19:C23"/>
    <mergeCell ref="D19:D23"/>
    <mergeCell ref="E19:E23"/>
    <mergeCell ref="K19:K23"/>
    <mergeCell ref="L19:L23"/>
    <mergeCell ref="M24:M28"/>
    <mergeCell ref="N24:N28"/>
    <mergeCell ref="O24:O28"/>
    <mergeCell ref="P24:P28"/>
    <mergeCell ref="B29:B33"/>
    <mergeCell ref="C29:C33"/>
    <mergeCell ref="D29:D33"/>
    <mergeCell ref="E29:E33"/>
    <mergeCell ref="K29:K33"/>
    <mergeCell ref="L29:L33"/>
    <mergeCell ref="M29:M33"/>
    <mergeCell ref="N29:N33"/>
    <mergeCell ref="O29:O33"/>
    <mergeCell ref="P29:P33"/>
    <mergeCell ref="B34:B38"/>
    <mergeCell ref="C34:C38"/>
    <mergeCell ref="D34:D38"/>
    <mergeCell ref="E34:E38"/>
    <mergeCell ref="K34:K38"/>
    <mergeCell ref="L34:L38"/>
    <mergeCell ref="M34:M38"/>
    <mergeCell ref="N34:N38"/>
    <mergeCell ref="O34:O38"/>
    <mergeCell ref="P34:P38"/>
    <mergeCell ref="B39:B43"/>
    <mergeCell ref="C39:C43"/>
    <mergeCell ref="D39:D43"/>
    <mergeCell ref="E39:E43"/>
    <mergeCell ref="K39:K43"/>
    <mergeCell ref="L39:L43"/>
    <mergeCell ref="M39:M43"/>
    <mergeCell ref="N39:N43"/>
    <mergeCell ref="O39:O43"/>
    <mergeCell ref="P39:P43"/>
    <mergeCell ref="B44:B48"/>
    <mergeCell ref="C44:C48"/>
    <mergeCell ref="D44:D48"/>
    <mergeCell ref="E44:E48"/>
    <mergeCell ref="K44:K48"/>
    <mergeCell ref="L44:L48"/>
    <mergeCell ref="M44:M48"/>
    <mergeCell ref="N44:N48"/>
    <mergeCell ref="O44:O48"/>
    <mergeCell ref="P44:P48"/>
    <mergeCell ref="B49:B53"/>
    <mergeCell ref="C49:C53"/>
    <mergeCell ref="D49:D53"/>
    <mergeCell ref="E49:E53"/>
    <mergeCell ref="K49:K53"/>
    <mergeCell ref="L49:L53"/>
    <mergeCell ref="M49:M53"/>
    <mergeCell ref="N49:N53"/>
    <mergeCell ref="O49:O53"/>
    <mergeCell ref="P49:P53"/>
    <mergeCell ref="B54:B58"/>
    <mergeCell ref="C54:C58"/>
    <mergeCell ref="D54:D58"/>
    <mergeCell ref="E54:E58"/>
    <mergeCell ref="K54:K58"/>
    <mergeCell ref="L54:L58"/>
    <mergeCell ref="M54:M58"/>
    <mergeCell ref="N54:N58"/>
    <mergeCell ref="O54:O58"/>
    <mergeCell ref="P54:P58"/>
    <mergeCell ref="B59:B63"/>
    <mergeCell ref="C59:C63"/>
    <mergeCell ref="D59:D63"/>
    <mergeCell ref="E59:E63"/>
    <mergeCell ref="K59:K63"/>
    <mergeCell ref="L59:L63"/>
    <mergeCell ref="M59:M63"/>
    <mergeCell ref="N59:N63"/>
    <mergeCell ref="O59:O63"/>
    <mergeCell ref="P59:P63"/>
    <mergeCell ref="B64:B68"/>
    <mergeCell ref="C64:C68"/>
    <mergeCell ref="D64:D68"/>
    <mergeCell ref="E64:E68"/>
    <mergeCell ref="K64:K68"/>
    <mergeCell ref="L64:L68"/>
    <mergeCell ref="M64:M68"/>
    <mergeCell ref="N64:N68"/>
    <mergeCell ref="O64:O68"/>
    <mergeCell ref="P64:P68"/>
    <mergeCell ref="B69:B73"/>
    <mergeCell ref="C69:C73"/>
    <mergeCell ref="D69:D73"/>
    <mergeCell ref="E69:E73"/>
    <mergeCell ref="K69:K73"/>
    <mergeCell ref="L69:L73"/>
    <mergeCell ref="M69:M73"/>
    <mergeCell ref="N69:N73"/>
    <mergeCell ref="O69:O73"/>
    <mergeCell ref="P69:P73"/>
    <mergeCell ref="B74:B78"/>
    <mergeCell ref="C74:C78"/>
    <mergeCell ref="D74:D78"/>
    <mergeCell ref="E74:E78"/>
    <mergeCell ref="K74:K78"/>
    <mergeCell ref="L74:L78"/>
    <mergeCell ref="M79:M83"/>
    <mergeCell ref="N79:N83"/>
    <mergeCell ref="O79:O83"/>
    <mergeCell ref="P79:P83"/>
    <mergeCell ref="B84:B89"/>
    <mergeCell ref="C84:P89"/>
    <mergeCell ref="M74:M78"/>
    <mergeCell ref="N74:N78"/>
    <mergeCell ref="O74:O78"/>
    <mergeCell ref="P74:P78"/>
    <mergeCell ref="B79:B83"/>
    <mergeCell ref="C79:C83"/>
    <mergeCell ref="D79:D83"/>
    <mergeCell ref="E79:E83"/>
    <mergeCell ref="K79:K83"/>
    <mergeCell ref="L79:L83"/>
    <mergeCell ref="C90:H90"/>
    <mergeCell ref="I90:I91"/>
    <mergeCell ref="K90:P90"/>
    <mergeCell ref="C91:H91"/>
    <mergeCell ref="K91:P91"/>
    <mergeCell ref="B92:B102"/>
    <mergeCell ref="C92:C96"/>
    <mergeCell ref="D92:D96"/>
    <mergeCell ref="E92:E102"/>
    <mergeCell ref="K92:K102"/>
    <mergeCell ref="B103:J104"/>
    <mergeCell ref="O103:O104"/>
    <mergeCell ref="P103:P104"/>
    <mergeCell ref="B105:F105"/>
    <mergeCell ref="G105:K105"/>
    <mergeCell ref="L105:P105"/>
    <mergeCell ref="L92:L102"/>
    <mergeCell ref="M92:M102"/>
    <mergeCell ref="N92:N102"/>
    <mergeCell ref="O92:O102"/>
    <mergeCell ref="P92:P102"/>
    <mergeCell ref="C97:C102"/>
    <mergeCell ref="D97:D102"/>
    <mergeCell ref="B106:F112"/>
    <mergeCell ref="G106:K112"/>
    <mergeCell ref="L106:N106"/>
    <mergeCell ref="O106:P106"/>
    <mergeCell ref="L107:N107"/>
    <mergeCell ref="O107:P107"/>
    <mergeCell ref="L108:P110"/>
    <mergeCell ref="L111:O111"/>
    <mergeCell ref="L112:O112"/>
    <mergeCell ref="B117:P117"/>
    <mergeCell ref="A118:C118"/>
    <mergeCell ref="D118:I118"/>
    <mergeCell ref="J118:K118"/>
    <mergeCell ref="L118:P118"/>
    <mergeCell ref="B113:P113"/>
    <mergeCell ref="A114:P114"/>
    <mergeCell ref="B115:E115"/>
    <mergeCell ref="F115:J115"/>
    <mergeCell ref="K115:P115"/>
    <mergeCell ref="B116:E116"/>
    <mergeCell ref="F116:P116"/>
  </mergeCells>
  <printOptions horizontalCentered="1"/>
  <pageMargins left="0.35433070866141736" right="0.23622047244094491" top="0.74803149606299213" bottom="0.74803149606299213" header="0.19685039370078741" footer="0.31496062992125984"/>
  <pageSetup scale="63" fitToHeight="0" orientation="portrait" r:id="rId1"/>
  <headerFooter>
    <oddHeader>&amp;C&amp;"-,Negrita Cursiva"&amp;12Protocolo integrado de aforo en ríos de montaña Universidad Nacional de Colombia-Sede Manizales</oddHeader>
  </headerFooter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8</vt:i4>
      </vt:variant>
    </vt:vector>
  </HeadingPairs>
  <TitlesOfParts>
    <vt:vector size="13" baseType="lpstr">
      <vt:lpstr>Planta y sección típica</vt:lpstr>
      <vt:lpstr>Aforo 1</vt:lpstr>
      <vt:lpstr>Aforo 2</vt:lpstr>
      <vt:lpstr>Aforo 3</vt:lpstr>
      <vt:lpstr>Aforo 4</vt:lpstr>
      <vt:lpstr>'Aforo 1'!Área_de_impresión</vt:lpstr>
      <vt:lpstr>'Aforo 2'!Área_de_impresión</vt:lpstr>
      <vt:lpstr>'Aforo 3'!Área_de_impresión</vt:lpstr>
      <vt:lpstr>'Aforo 4'!Área_de_impresión</vt:lpstr>
      <vt:lpstr>'Aforo 1'!Títulos_a_imprimir</vt:lpstr>
      <vt:lpstr>'Aforo 2'!Títulos_a_imprimir</vt:lpstr>
      <vt:lpstr>'Aforo 3'!Títulos_a_imprimir</vt:lpstr>
      <vt:lpstr>'Aforo 4'!Títulos_a_imprimir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ALZATE</dc:creator>
  <cp:lastModifiedBy>MATEO ALZATE</cp:lastModifiedBy>
  <dcterms:created xsi:type="dcterms:W3CDTF">2019-04-11T19:24:47Z</dcterms:created>
  <dcterms:modified xsi:type="dcterms:W3CDTF">2019-05-16T15:50:13Z</dcterms:modified>
</cp:coreProperties>
</file>