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31" r:id="rId2"/>
    <sheet name="Aforo 2" sheetId="32" r:id="rId3"/>
    <sheet name="Aforo 3" sheetId="33" r:id="rId4"/>
    <sheet name="Aforo 4" sheetId="34" r:id="rId5"/>
  </sheets>
  <definedNames>
    <definedName name="_xlnm.Print_Area" localSheetId="1">'Aforo 1'!$B$1:$P$93</definedName>
    <definedName name="_xlnm.Print_Area" localSheetId="2">'Aforo 2'!$B$1:$P$98</definedName>
    <definedName name="_xlnm.Print_Area" localSheetId="3">'Aforo 3'!$B$1:$P$98</definedName>
    <definedName name="_xlnm.Print_Area" localSheetId="4">'Aforo 4'!$B$1:$P$113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2" i="34" l="1"/>
  <c r="O101" i="34"/>
  <c r="G96" i="34"/>
  <c r="G92" i="34"/>
  <c r="D92" i="34"/>
  <c r="G90" i="34"/>
  <c r="G89" i="34"/>
  <c r="K87" i="34"/>
  <c r="E87" i="34"/>
  <c r="G95" i="34" s="1"/>
  <c r="D87" i="34"/>
  <c r="B87" i="34"/>
  <c r="G78" i="34"/>
  <c r="G77" i="34"/>
  <c r="G76" i="34"/>
  <c r="G75" i="34"/>
  <c r="K74" i="34"/>
  <c r="G73" i="34"/>
  <c r="G72" i="34"/>
  <c r="G71" i="34"/>
  <c r="G70" i="34"/>
  <c r="K69" i="34"/>
  <c r="G68" i="34"/>
  <c r="G67" i="34"/>
  <c r="G66" i="34"/>
  <c r="G65" i="34"/>
  <c r="K64" i="34"/>
  <c r="G63" i="34"/>
  <c r="G62" i="34"/>
  <c r="G61" i="34"/>
  <c r="G60" i="34"/>
  <c r="K59" i="34"/>
  <c r="G58" i="34"/>
  <c r="G57" i="34"/>
  <c r="G56" i="34"/>
  <c r="G55" i="34"/>
  <c r="K54" i="34"/>
  <c r="G53" i="34"/>
  <c r="G52" i="34"/>
  <c r="G51" i="34"/>
  <c r="G50" i="34"/>
  <c r="K49" i="34"/>
  <c r="G48" i="34"/>
  <c r="G47" i="34"/>
  <c r="G46" i="34"/>
  <c r="G45" i="34"/>
  <c r="K44" i="34"/>
  <c r="G43" i="34"/>
  <c r="G42" i="34"/>
  <c r="G41" i="34"/>
  <c r="G40" i="34"/>
  <c r="K39" i="34"/>
  <c r="G38" i="34"/>
  <c r="G37" i="34"/>
  <c r="G36" i="34"/>
  <c r="G35" i="34"/>
  <c r="K34" i="34"/>
  <c r="G33" i="34"/>
  <c r="G32" i="34"/>
  <c r="G31" i="34"/>
  <c r="G30" i="34"/>
  <c r="K29" i="34"/>
  <c r="G28" i="34"/>
  <c r="G27" i="34"/>
  <c r="G26" i="34"/>
  <c r="G25" i="34"/>
  <c r="G23" i="34"/>
  <c r="G22" i="34"/>
  <c r="G21" i="34"/>
  <c r="G20" i="34"/>
  <c r="K19" i="34"/>
  <c r="C18" i="34"/>
  <c r="C19" i="34" s="1"/>
  <c r="C87" i="34" l="1"/>
  <c r="C24" i="34"/>
  <c r="L19" i="34"/>
  <c r="G91" i="34"/>
  <c r="G93" i="34"/>
  <c r="G97" i="34"/>
  <c r="G88" i="34"/>
  <c r="G94" i="34"/>
  <c r="C92" i="34" l="1"/>
  <c r="L87" i="34" s="1"/>
  <c r="M87" i="34" s="1"/>
  <c r="C29" i="34"/>
  <c r="M19" i="34"/>
  <c r="L29" i="34" l="1"/>
  <c r="C34" i="34"/>
  <c r="L34" i="34" l="1"/>
  <c r="M34" i="34" s="1"/>
  <c r="C39" i="34"/>
  <c r="M29" i="34"/>
  <c r="C44" i="34" l="1"/>
  <c r="L39" i="34"/>
  <c r="M39" i="34" l="1"/>
  <c r="C49" i="34"/>
  <c r="L44" i="34"/>
  <c r="M44" i="34" s="1"/>
  <c r="L49" i="34" l="1"/>
  <c r="M49" i="34" s="1"/>
  <c r="C54" i="34"/>
  <c r="L54" i="34" l="1"/>
  <c r="M54" i="34" s="1"/>
  <c r="C59" i="34"/>
  <c r="C64" i="34" l="1"/>
  <c r="L59" i="34"/>
  <c r="M59" i="34" s="1"/>
  <c r="C69" i="34" l="1"/>
  <c r="L64" i="34"/>
  <c r="M64" i="34" s="1"/>
  <c r="L69" i="34" l="1"/>
  <c r="M69" i="34" s="1"/>
  <c r="C74" i="34"/>
  <c r="L74" i="34" s="1"/>
  <c r="M74" i="34" l="1"/>
  <c r="L98" i="34"/>
  <c r="N74" i="34" l="1"/>
  <c r="M98" i="34"/>
  <c r="K98" i="34" l="1"/>
  <c r="N87" i="34"/>
  <c r="N19" i="34"/>
  <c r="N29" i="34"/>
  <c r="N34" i="34"/>
  <c r="N44" i="34"/>
  <c r="N39" i="34"/>
  <c r="N49" i="34"/>
  <c r="N54" i="34"/>
  <c r="N59" i="34"/>
  <c r="N64" i="34"/>
  <c r="N69" i="34"/>
  <c r="N98" i="34" l="1"/>
  <c r="O87" i="33" l="1"/>
  <c r="O86" i="33"/>
  <c r="G81" i="33"/>
  <c r="G77" i="33"/>
  <c r="D77" i="33"/>
  <c r="G75" i="33"/>
  <c r="K72" i="33"/>
  <c r="E72" i="33"/>
  <c r="G80" i="33" s="1"/>
  <c r="D72" i="33"/>
  <c r="B72" i="33"/>
  <c r="G63" i="33"/>
  <c r="G62" i="33"/>
  <c r="G61" i="33"/>
  <c r="G60" i="33"/>
  <c r="K59" i="33"/>
  <c r="G58" i="33"/>
  <c r="G57" i="33"/>
  <c r="G56" i="33"/>
  <c r="G55" i="33"/>
  <c r="K54" i="33"/>
  <c r="G53" i="33"/>
  <c r="G52" i="33"/>
  <c r="G51" i="33"/>
  <c r="G50" i="33"/>
  <c r="K49" i="33"/>
  <c r="G48" i="33"/>
  <c r="G47" i="33"/>
  <c r="G46" i="33"/>
  <c r="G45" i="33"/>
  <c r="K44" i="33"/>
  <c r="G43" i="33"/>
  <c r="G42" i="33"/>
  <c r="G41" i="33"/>
  <c r="G40" i="33"/>
  <c r="K39" i="33"/>
  <c r="G38" i="33"/>
  <c r="G37" i="33"/>
  <c r="G36" i="33"/>
  <c r="G35" i="33"/>
  <c r="G33" i="33"/>
  <c r="G32" i="33"/>
  <c r="G31" i="33"/>
  <c r="G30" i="33"/>
  <c r="K29" i="33"/>
  <c r="G28" i="33"/>
  <c r="G27" i="33"/>
  <c r="G26" i="33"/>
  <c r="G25" i="33"/>
  <c r="K24" i="33"/>
  <c r="G23" i="33"/>
  <c r="G22" i="33"/>
  <c r="G21" i="33"/>
  <c r="G20" i="33"/>
  <c r="K19" i="33"/>
  <c r="C18" i="33"/>
  <c r="C19" i="33" s="1"/>
  <c r="L19" i="33" l="1"/>
  <c r="C24" i="33"/>
  <c r="G76" i="33"/>
  <c r="G78" i="33"/>
  <c r="G82" i="33"/>
  <c r="G73" i="33"/>
  <c r="G79" i="33"/>
  <c r="G74" i="33"/>
  <c r="M19" i="33" l="1"/>
  <c r="C29" i="33"/>
  <c r="L24" i="33"/>
  <c r="M24" i="33" s="1"/>
  <c r="C72" i="33" l="1"/>
  <c r="C34" i="33"/>
  <c r="L29" i="33"/>
  <c r="M29" i="33" s="1"/>
  <c r="C77" i="33" l="1"/>
  <c r="L72" i="33" s="1"/>
  <c r="M72" i="33" s="1"/>
  <c r="C39" i="33"/>
  <c r="L39" i="33" l="1"/>
  <c r="C44" i="33"/>
  <c r="C49" i="33" l="1"/>
  <c r="L44" i="33"/>
  <c r="M44" i="33" s="1"/>
  <c r="M39" i="33"/>
  <c r="L49" i="33" l="1"/>
  <c r="C54" i="33"/>
  <c r="M49" i="33" l="1"/>
  <c r="L54" i="33"/>
  <c r="M54" i="33" s="1"/>
  <c r="C59" i="33"/>
  <c r="L59" i="33" s="1"/>
  <c r="M59" i="33" s="1"/>
  <c r="L83" i="33" l="1"/>
  <c r="N59" i="33"/>
  <c r="N49" i="33"/>
  <c r="M83" i="33"/>
  <c r="K83" i="33" l="1"/>
  <c r="N19" i="33"/>
  <c r="N24" i="33"/>
  <c r="N29" i="33"/>
  <c r="N72" i="33"/>
  <c r="N44" i="33"/>
  <c r="N39" i="33"/>
  <c r="N54" i="33"/>
  <c r="N83" i="33" l="1"/>
  <c r="O87" i="32" l="1"/>
  <c r="O86" i="32"/>
  <c r="G81" i="32"/>
  <c r="G80" i="32"/>
  <c r="G79" i="32"/>
  <c r="G77" i="32"/>
  <c r="D77" i="32"/>
  <c r="G75" i="32"/>
  <c r="G74" i="32"/>
  <c r="G73" i="32"/>
  <c r="K72" i="32"/>
  <c r="E72" i="32"/>
  <c r="G82" i="32" s="1"/>
  <c r="D72" i="32"/>
  <c r="B72" i="32"/>
  <c r="G63" i="32"/>
  <c r="G62" i="32"/>
  <c r="G61" i="32"/>
  <c r="G60" i="32"/>
  <c r="K59" i="32"/>
  <c r="G58" i="32"/>
  <c r="G57" i="32"/>
  <c r="G56" i="32"/>
  <c r="G55" i="32"/>
  <c r="K54" i="32"/>
  <c r="G53" i="32"/>
  <c r="G52" i="32"/>
  <c r="G51" i="32"/>
  <c r="G50" i="32"/>
  <c r="K49" i="32"/>
  <c r="G48" i="32"/>
  <c r="G47" i="32"/>
  <c r="G46" i="32"/>
  <c r="G45" i="32"/>
  <c r="K44" i="32"/>
  <c r="G43" i="32"/>
  <c r="G42" i="32"/>
  <c r="G41" i="32"/>
  <c r="G40" i="32"/>
  <c r="K39" i="32"/>
  <c r="G38" i="32"/>
  <c r="G37" i="32"/>
  <c r="G36" i="32"/>
  <c r="G35" i="32"/>
  <c r="G33" i="32"/>
  <c r="G32" i="32"/>
  <c r="G31" i="32"/>
  <c r="G30" i="32"/>
  <c r="K29" i="32"/>
  <c r="G28" i="32"/>
  <c r="G27" i="32"/>
  <c r="G26" i="32"/>
  <c r="G25" i="32"/>
  <c r="K24" i="32"/>
  <c r="G23" i="32"/>
  <c r="G22" i="32"/>
  <c r="G21" i="32"/>
  <c r="G20" i="32"/>
  <c r="K19" i="32"/>
  <c r="C18" i="32"/>
  <c r="C19" i="32" s="1"/>
  <c r="C24" i="32" l="1"/>
  <c r="L19" i="32"/>
  <c r="G76" i="32"/>
  <c r="G78" i="32"/>
  <c r="L24" i="32" l="1"/>
  <c r="M24" i="32" s="1"/>
  <c r="C29" i="32"/>
  <c r="M19" i="32"/>
  <c r="C72" i="32" l="1"/>
  <c r="L29" i="32"/>
  <c r="C34" i="32"/>
  <c r="M29" i="32" l="1"/>
  <c r="C77" i="32"/>
  <c r="L72" i="32" s="1"/>
  <c r="M72" i="32" s="1"/>
  <c r="C39" i="32"/>
  <c r="C44" i="32" l="1"/>
  <c r="L39" i="32"/>
  <c r="C49" i="32" l="1"/>
  <c r="L44" i="32"/>
  <c r="M44" i="32" s="1"/>
  <c r="M39" i="32"/>
  <c r="C54" i="32" l="1"/>
  <c r="L49" i="32"/>
  <c r="M49" i="32" s="1"/>
  <c r="L54" i="32" l="1"/>
  <c r="C59" i="32"/>
  <c r="L59" i="32" s="1"/>
  <c r="M59" i="32" s="1"/>
  <c r="M54" i="32" l="1"/>
  <c r="L83" i="32"/>
  <c r="M83" i="32" l="1"/>
  <c r="K83" i="32" l="1"/>
  <c r="N24" i="32"/>
  <c r="N19" i="32"/>
  <c r="N72" i="32"/>
  <c r="N29" i="32"/>
  <c r="N44" i="32"/>
  <c r="N39" i="32"/>
  <c r="N49" i="32"/>
  <c r="N59" i="32"/>
  <c r="N54" i="32"/>
  <c r="N83" i="32" l="1"/>
  <c r="O82" i="31" l="1"/>
  <c r="O81" i="31"/>
  <c r="G77" i="31"/>
  <c r="G76" i="31"/>
  <c r="G75" i="31"/>
  <c r="G74" i="31"/>
  <c r="G73" i="31"/>
  <c r="G72" i="31"/>
  <c r="G71" i="31"/>
  <c r="G70" i="31"/>
  <c r="G69" i="31"/>
  <c r="G68" i="31"/>
  <c r="M67" i="31"/>
  <c r="L67" i="31"/>
  <c r="K67" i="31"/>
  <c r="G58" i="31"/>
  <c r="G57" i="31"/>
  <c r="G56" i="31"/>
  <c r="G55" i="31"/>
  <c r="K54" i="31"/>
  <c r="G53" i="31"/>
  <c r="G52" i="31"/>
  <c r="G51" i="31"/>
  <c r="G50" i="31"/>
  <c r="K49" i="31"/>
  <c r="G48" i="31"/>
  <c r="G47" i="31"/>
  <c r="G46" i="31"/>
  <c r="G45" i="31"/>
  <c r="K44" i="31"/>
  <c r="G43" i="31"/>
  <c r="G42" i="31"/>
  <c r="G41" i="31"/>
  <c r="G40" i="31"/>
  <c r="G38" i="31"/>
  <c r="G37" i="31"/>
  <c r="G36" i="31"/>
  <c r="G35" i="31"/>
  <c r="K34" i="31"/>
  <c r="G33" i="31"/>
  <c r="G32" i="31"/>
  <c r="G31" i="31"/>
  <c r="G30" i="31"/>
  <c r="K29" i="31"/>
  <c r="G28" i="31"/>
  <c r="G27" i="31"/>
  <c r="G26" i="31"/>
  <c r="G25" i="31"/>
  <c r="K24" i="31"/>
  <c r="G23" i="31"/>
  <c r="G22" i="31"/>
  <c r="G21" i="31"/>
  <c r="G20" i="31"/>
  <c r="L19" i="31"/>
  <c r="K19" i="31"/>
  <c r="C19" i="31"/>
  <c r="C24" i="31" s="1"/>
  <c r="C18" i="31"/>
  <c r="L24" i="31" l="1"/>
  <c r="C29" i="31"/>
  <c r="M24" i="31"/>
  <c r="M19" i="31"/>
  <c r="C34" i="31" l="1"/>
  <c r="L29" i="31"/>
  <c r="L34" i="31" l="1"/>
  <c r="M34" i="31" s="1"/>
  <c r="C39" i="31"/>
  <c r="C44" i="31" s="1"/>
  <c r="M29" i="31"/>
  <c r="L44" i="31" l="1"/>
  <c r="C49" i="31"/>
  <c r="C54" i="31" l="1"/>
  <c r="L54" i="31" s="1"/>
  <c r="M54" i="31" s="1"/>
  <c r="L49" i="31"/>
  <c r="M49" i="31" s="1"/>
  <c r="M44" i="31"/>
  <c r="L78" i="31"/>
  <c r="M78" i="31" l="1"/>
  <c r="N49" i="31"/>
  <c r="N54" i="31"/>
  <c r="K78" i="31" l="1"/>
  <c r="N67" i="31"/>
  <c r="N24" i="31"/>
  <c r="N19" i="31"/>
  <c r="N29" i="31"/>
  <c r="N34" i="31"/>
  <c r="N44" i="31"/>
  <c r="N78" i="31" l="1"/>
</calcChain>
</file>

<file path=xl/sharedStrings.xml><?xml version="1.0" encoding="utf-8"?>
<sst xmlns="http://schemas.openxmlformats.org/spreadsheetml/2006/main" count="627" uniqueCount="123">
  <si>
    <t>Fecha</t>
  </si>
  <si>
    <t xml:space="preserve">Aforo No. 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</si>
  <si>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</si>
  <si>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</si>
  <si>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</si>
  <si>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</si>
  <si>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</si>
  <si>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</si>
  <si>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</si>
  <si>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</si>
  <si>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</si>
  <si>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</si>
  <si>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</si>
  <si>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</si>
  <si>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</si>
  <si>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</si>
  <si>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</si>
  <si>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</si>
  <si>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</si>
  <si>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</si>
  <si>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</si>
  <si>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</si>
  <si>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</si>
  <si>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</si>
  <si>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</si>
  <si>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</si>
  <si>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</si>
  <si>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</si>
  <si>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</si>
  <si>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</si>
  <si>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</si>
  <si>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</si>
  <si>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</si>
  <si>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</si>
  <si>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</si>
  <si>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</si>
  <si>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</si>
  <si>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</si>
  <si>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</si>
  <si>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</si>
  <si>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</si>
  <si>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</si>
  <si>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</si>
  <si>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</si>
  <si>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</si>
  <si>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</si>
  <si>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</si>
  <si>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</si>
  <si>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</si>
  <si>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</si>
  <si>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</si>
  <si>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</si>
  <si>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</si>
  <si>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</si>
  <si>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</si>
  <si>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</si>
  <si>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</si>
  <si>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</si>
  <si>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</si>
  <si>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</si>
  <si>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</si>
  <si>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</si>
  <si>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</si>
  <si>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</si>
  <si>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</si>
  <si>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</si>
  <si>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</si>
  <si>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</si>
  <si>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</si>
  <si>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</si>
  <si>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</si>
  <si>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</si>
  <si>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</si>
  <si>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</si>
  <si>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</si>
  <si>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</si>
  <si>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</si>
  <si>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</si>
  <si>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</si>
  <si>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</si>
  <si>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</si>
  <si>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</si>
  <si>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</si>
  <si>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</si>
  <si>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</si>
  <si>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</si>
  <si>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</si>
  <si>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</si>
  <si>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</si>
  <si>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</si>
  <si>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</si>
  <si>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</si>
  <si>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</si>
  <si>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</si>
  <si>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</si>
  <si>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</si>
  <si>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</si>
  <si>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</si>
  <si>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</si>
  <si>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</si>
  <si>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</si>
  <si>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</si>
  <si>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</si>
  <si>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</si>
  <si>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Proceso de aforo</t>
  </si>
  <si>
    <t>Detalle del aforo</t>
  </si>
  <si>
    <t>SOLEADO</t>
  </si>
  <si>
    <t xml:space="preserve">TOME DE TEMPERATURA </t>
  </si>
  <si>
    <t xml:space="preserve"> SECCION DE AFORO</t>
  </si>
  <si>
    <t>QUEBRADA LA FRANCIA - FINCA LOS PUENTES</t>
  </si>
  <si>
    <t xml:space="preserve">  N5° 3' 45.52"</t>
  </si>
  <si>
    <t xml:space="preserve"> W 75° 32' 48.91"</t>
  </si>
  <si>
    <t>Cálido</t>
  </si>
  <si>
    <t>Durante la jornada de aforo se determinó el perfil de la sección de aforo, se midió la altura del nivel del agua al sensor . Teniendo en cuenta las observaciones de los asesores del GTA de Ingeniería Hidráulica y Ambiental los aforos se realizaron así: Si y &lt; 0.12m se toma la velocidad a 0.6 de h. Si y&gt;=0.12m se toman velocidades a 0,2 - 0,6 y 0,8 de y</t>
  </si>
  <si>
    <t xml:space="preserve">  N5° 3'45.52"</t>
  </si>
  <si>
    <t xml:space="preserve"> W75°32'48.91"</t>
  </si>
  <si>
    <t xml:space="preserve">Calido </t>
  </si>
  <si>
    <t>Durante la jornada de aforo se determinó el perfil de la sección de aforo, se midió la altura del nivel del agua al sensor.</t>
  </si>
  <si>
    <t>Medida de la temperatura</t>
  </si>
  <si>
    <t>QUEBRADA LA FRANCIA - LOS PUENTES</t>
  </si>
  <si>
    <t>QUEBRADA LA FRANCIA-FINCA LOS PUENTES</t>
  </si>
  <si>
    <t>Formato L1.2: Medición de caudal por el método área-velocidad: medidas desde la superficie del agua con medidor electromagnético</t>
  </si>
  <si>
    <t>Convenio 221/2016 OPERACIÓN Y MANTENIMIENTO REDES HIDROMETEOROLÓGICAS,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</si>
</sst>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2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25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164" fontId="5" fillId="0" borderId="36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8" xfId="0" applyFont="1" applyBorder="1"/>
    <xf numFmtId="0" fontId="0" fillId="0" borderId="0" xfId="0" applyFont="1" applyAlignment="1"/>
    <xf numFmtId="0" fontId="2" fillId="0" borderId="38" xfId="0" applyFont="1" applyBorder="1"/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15" fillId="5" borderId="48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38" xfId="0" applyFont="1" applyFill="1" applyBorder="1" applyAlignment="1">
      <alignment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vertical="center"/>
    </xf>
    <xf numFmtId="0" fontId="15" fillId="0" borderId="4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55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15" fillId="0" borderId="64" xfId="0" applyFont="1" applyFill="1" applyBorder="1" applyAlignment="1">
      <alignment horizontal="center" vertical="center"/>
    </xf>
    <xf numFmtId="0" fontId="19" fillId="0" borderId="71" xfId="0" applyFont="1" applyFill="1" applyBorder="1" applyAlignment="1">
      <alignment vertical="top" wrapText="1"/>
    </xf>
    <xf numFmtId="0" fontId="19" fillId="0" borderId="55" xfId="0" applyFont="1" applyFill="1" applyBorder="1" applyAlignment="1">
      <alignment horizontal="center" vertical="top" wrapText="1"/>
    </xf>
    <xf numFmtId="0" fontId="19" fillId="0" borderId="74" xfId="0" applyFont="1" applyFill="1" applyBorder="1" applyAlignment="1">
      <alignment horizontal="center"/>
    </xf>
    <xf numFmtId="0" fontId="15" fillId="0" borderId="64" xfId="0" applyFont="1" applyFill="1" applyBorder="1" applyAlignment="1">
      <alignment horizontal="center" vertical="top" wrapText="1"/>
    </xf>
    <xf numFmtId="0" fontId="15" fillId="0" borderId="81" xfId="0" applyFont="1" applyFill="1" applyBorder="1" applyAlignment="1">
      <alignment horizontal="center" vertical="center" wrapText="1"/>
    </xf>
    <xf numFmtId="20" fontId="15" fillId="0" borderId="84" xfId="0" applyNumberFormat="1" applyFont="1" applyFill="1" applyBorder="1" applyAlignment="1">
      <alignment horizontal="center" vertical="top"/>
    </xf>
    <xf numFmtId="0" fontId="15" fillId="0" borderId="85" xfId="0" applyFont="1" applyFill="1" applyBorder="1" applyAlignment="1">
      <alignment horizontal="center" vertical="top"/>
    </xf>
    <xf numFmtId="0" fontId="15" fillId="0" borderId="74" xfId="0" applyFont="1" applyFill="1" applyBorder="1" applyAlignment="1">
      <alignment horizontal="center" vertical="center"/>
    </xf>
    <xf numFmtId="0" fontId="15" fillId="0" borderId="88" xfId="0" applyFont="1" applyFill="1" applyBorder="1" applyAlignment="1">
      <alignment horizontal="center" vertical="center"/>
    </xf>
    <xf numFmtId="0" fontId="22" fillId="7" borderId="0" xfId="0" applyFont="1" applyFill="1" applyBorder="1" applyAlignment="1">
      <alignment horizontal="left" vertical="center" wrapText="1"/>
    </xf>
    <xf numFmtId="0" fontId="18" fillId="6" borderId="94" xfId="0" applyFont="1" applyFill="1" applyBorder="1" applyAlignment="1">
      <alignment vertical="center"/>
    </xf>
    <xf numFmtId="0" fontId="18" fillId="6" borderId="94" xfId="0" applyFont="1" applyFill="1" applyBorder="1" applyAlignment="1">
      <alignment horizontal="center" vertical="center"/>
    </xf>
    <xf numFmtId="0" fontId="18" fillId="6" borderId="55" xfId="0" applyFont="1" applyFill="1" applyBorder="1" applyAlignment="1">
      <alignment horizontal="center" vertical="center"/>
    </xf>
    <xf numFmtId="0" fontId="2" fillId="0" borderId="88" xfId="0" applyFont="1" applyBorder="1"/>
    <xf numFmtId="0" fontId="18" fillId="6" borderId="88" xfId="0" applyFont="1" applyFill="1" applyBorder="1" applyAlignment="1">
      <alignment vertical="center"/>
    </xf>
    <xf numFmtId="0" fontId="18" fillId="6" borderId="97" xfId="0" applyFont="1" applyFill="1" applyBorder="1" applyAlignment="1">
      <alignment horizontal="center" vertical="center"/>
    </xf>
    <xf numFmtId="0" fontId="18" fillId="6" borderId="84" xfId="0" applyFont="1" applyFill="1" applyBorder="1" applyAlignment="1">
      <alignment horizontal="center" vertical="center"/>
    </xf>
    <xf numFmtId="0" fontId="24" fillId="0" borderId="0" xfId="0" applyFont="1" applyFill="1"/>
    <xf numFmtId="0" fontId="18" fillId="0" borderId="76" xfId="0" applyFont="1" applyFill="1" applyBorder="1" applyAlignment="1">
      <alignment horizontal="center" vertical="center" wrapText="1"/>
    </xf>
    <xf numFmtId="0" fontId="2" fillId="0" borderId="92" xfId="0" applyFont="1" applyFill="1" applyBorder="1" applyAlignment="1">
      <alignment horizontal="center" vertical="center" wrapText="1"/>
    </xf>
    <xf numFmtId="0" fontId="18" fillId="0" borderId="92" xfId="0" applyFont="1" applyFill="1" applyBorder="1" applyAlignment="1">
      <alignment horizontal="center" vertical="center"/>
    </xf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vertical="center"/>
    </xf>
    <xf numFmtId="164" fontId="14" fillId="0" borderId="92" xfId="0" applyNumberFormat="1" applyFont="1" applyFill="1" applyBorder="1" applyAlignment="1">
      <alignment vertical="center"/>
    </xf>
    <xf numFmtId="0" fontId="18" fillId="0" borderId="98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4" xfId="0" applyFont="1" applyFill="1" applyBorder="1" applyAlignment="1">
      <alignment horizontal="center"/>
    </xf>
    <xf numFmtId="2" fontId="14" fillId="0" borderId="94" xfId="0" applyNumberFormat="1" applyFont="1" applyFill="1" applyBorder="1" applyAlignment="1">
      <alignment horizontal="center" vertical="center"/>
    </xf>
    <xf numFmtId="2" fontId="14" fillId="0" borderId="94" xfId="0" applyNumberFormat="1" applyFont="1" applyFill="1" applyBorder="1" applyAlignment="1">
      <alignment vertical="center"/>
    </xf>
    <xf numFmtId="0" fontId="2" fillId="0" borderId="94" xfId="0" applyFont="1" applyFill="1" applyBorder="1"/>
    <xf numFmtId="164" fontId="14" fillId="0" borderId="94" xfId="0" applyNumberFormat="1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2" xfId="0" applyFont="1" applyFill="1" applyBorder="1" applyAlignment="1">
      <alignment horizontal="center"/>
    </xf>
    <xf numFmtId="2" fontId="14" fillId="0" borderId="102" xfId="0" applyNumberFormat="1" applyFont="1" applyFill="1" applyBorder="1" applyAlignment="1">
      <alignment horizontal="center" vertical="center"/>
    </xf>
    <xf numFmtId="2" fontId="14" fillId="0" borderId="102" xfId="0" applyNumberFormat="1" applyFont="1" applyFill="1" applyBorder="1" applyAlignment="1">
      <alignment vertical="center"/>
    </xf>
    <xf numFmtId="0" fontId="2" fillId="0" borderId="102" xfId="0" applyFont="1" applyFill="1" applyBorder="1"/>
    <xf numFmtId="164" fontId="14" fillId="0" borderId="102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05" xfId="0" applyFont="1" applyFill="1" applyBorder="1" applyAlignment="1">
      <alignment vertical="center" wrapText="1"/>
    </xf>
    <xf numFmtId="0" fontId="24" fillId="0" borderId="38" xfId="0" applyFont="1" applyBorder="1"/>
    <xf numFmtId="2" fontId="14" fillId="10" borderId="109" xfId="0" applyNumberFormat="1" applyFont="1" applyFill="1" applyBorder="1" applyAlignment="1">
      <alignment horizontal="center" vertical="center"/>
    </xf>
    <xf numFmtId="2" fontId="14" fillId="10" borderId="109" xfId="0" applyNumberFormat="1" applyFont="1" applyFill="1" applyBorder="1" applyAlignment="1">
      <alignment horizontal="center"/>
    </xf>
    <xf numFmtId="164" fontId="2" fillId="10" borderId="109" xfId="0" applyNumberFormat="1" applyFont="1" applyFill="1" applyBorder="1" applyAlignment="1">
      <alignment horizontal="center"/>
    </xf>
    <xf numFmtId="164" fontId="2" fillId="9" borderId="109" xfId="0" applyNumberFormat="1" applyFont="1" applyFill="1" applyBorder="1" applyAlignment="1">
      <alignment horizontal="center"/>
    </xf>
    <xf numFmtId="0" fontId="24" fillId="0" borderId="0" xfId="0" applyFont="1"/>
    <xf numFmtId="0" fontId="14" fillId="10" borderId="99" xfId="0" applyFont="1" applyFill="1" applyBorder="1" applyAlignment="1">
      <alignment horizontal="center"/>
    </xf>
    <xf numFmtId="2" fontId="14" fillId="10" borderId="99" xfId="0" applyNumberFormat="1" applyFont="1" applyFill="1" applyBorder="1" applyAlignment="1">
      <alignment horizontal="center" vertical="center"/>
    </xf>
    <xf numFmtId="2" fontId="14" fillId="10" borderId="99" xfId="0" applyNumberFormat="1" applyFont="1" applyFill="1" applyBorder="1" applyAlignment="1">
      <alignment horizontal="center"/>
    </xf>
    <xf numFmtId="164" fontId="2" fillId="10" borderId="99" xfId="0" applyNumberFormat="1" applyFont="1" applyFill="1" applyBorder="1" applyAlignment="1">
      <alignment horizontal="center"/>
    </xf>
    <xf numFmtId="164" fontId="2" fillId="9" borderId="99" xfId="0" applyNumberFormat="1" applyFont="1" applyFill="1" applyBorder="1" applyAlignment="1">
      <alignment horizontal="center"/>
    </xf>
    <xf numFmtId="2" fontId="14" fillId="10" borderId="116" xfId="0" applyNumberFormat="1" applyFont="1" applyFill="1" applyBorder="1" applyAlignment="1">
      <alignment horizontal="center" vertical="center"/>
    </xf>
    <xf numFmtId="2" fontId="14" fillId="10" borderId="116" xfId="0" applyNumberFormat="1" applyFont="1" applyFill="1" applyBorder="1" applyAlignment="1">
      <alignment horizontal="center"/>
    </xf>
    <xf numFmtId="164" fontId="2" fillId="10" borderId="116" xfId="0" applyNumberFormat="1" applyFont="1" applyFill="1" applyBorder="1" applyAlignment="1">
      <alignment horizontal="center"/>
    </xf>
    <xf numFmtId="164" fontId="2" fillId="11" borderId="116" xfId="0" applyNumberFormat="1" applyFont="1" applyFill="1" applyBorder="1" applyAlignment="1">
      <alignment horizontal="center"/>
    </xf>
    <xf numFmtId="164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horizontal="center" vertical="center"/>
    </xf>
    <xf numFmtId="0" fontId="18" fillId="6" borderId="77" xfId="0" applyFont="1" applyFill="1" applyBorder="1" applyAlignment="1">
      <alignment horizontal="center" vertical="center"/>
    </xf>
    <xf numFmtId="164" fontId="18" fillId="5" borderId="119" xfId="0" applyNumberFormat="1" applyFont="1" applyFill="1" applyBorder="1" applyAlignment="1">
      <alignment horizontal="center" vertical="center"/>
    </xf>
    <xf numFmtId="0" fontId="15" fillId="0" borderId="74" xfId="0" applyFont="1" applyFill="1" applyBorder="1" applyAlignment="1">
      <alignment horizontal="center"/>
    </xf>
    <xf numFmtId="164" fontId="24" fillId="0" borderId="0" xfId="0" applyNumberFormat="1" applyFont="1" applyFill="1"/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3" borderId="16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0" fontId="0" fillId="0" borderId="117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18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4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43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8" xfId="0" applyFont="1" applyFill="1" applyBorder="1" applyAlignment="1">
      <alignment horizontal="center" vertical="center"/>
    </xf>
    <xf numFmtId="0" fontId="14" fillId="3" borderId="95" xfId="0" applyFont="1" applyFill="1" applyBorder="1"/>
    <xf numFmtId="0" fontId="14" fillId="3" borderId="115" xfId="0" applyFont="1" applyFill="1" applyBorder="1"/>
    <xf numFmtId="166" fontId="14" fillId="10" borderId="108" xfId="0" applyNumberFormat="1" applyFont="1" applyFill="1" applyBorder="1" applyAlignment="1">
      <alignment horizontal="center" vertical="center"/>
    </xf>
    <xf numFmtId="0" fontId="14" fillId="10" borderId="110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26" xfId="0" applyFont="1" applyFill="1" applyBorder="1"/>
    <xf numFmtId="2" fontId="14" fillId="9" borderId="97" xfId="0" applyNumberFormat="1" applyFont="1" applyFill="1" applyBorder="1" applyAlignment="1">
      <alignment horizontal="center" vertical="center"/>
    </xf>
    <xf numFmtId="164" fontId="14" fillId="9" borderId="9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07" xfId="0" applyFont="1" applyFill="1" applyBorder="1" applyAlignment="1">
      <alignment horizontal="center" vertical="center"/>
    </xf>
    <xf numFmtId="0" fontId="14" fillId="3" borderId="111" xfId="0" applyFont="1" applyFill="1" applyBorder="1"/>
    <xf numFmtId="0" fontId="14" fillId="3" borderId="114" xfId="0" applyFont="1" applyFill="1" applyBorder="1"/>
    <xf numFmtId="2" fontId="14" fillId="9" borderId="108" xfId="0" applyNumberFormat="1" applyFont="1" applyFill="1" applyBorder="1" applyAlignment="1">
      <alignment horizontal="center" vertical="center"/>
    </xf>
    <xf numFmtId="0" fontId="14" fillId="3" borderId="113" xfId="0" applyFont="1" applyFill="1" applyBorder="1"/>
    <xf numFmtId="164" fontId="14" fillId="9" borderId="108" xfId="0" applyNumberFormat="1" applyFont="1" applyFill="1" applyBorder="1" applyAlignment="1">
      <alignment horizontal="center" vertical="center"/>
    </xf>
    <xf numFmtId="164" fontId="14" fillId="10" borderId="108" xfId="0" applyNumberFormat="1" applyFont="1" applyFill="1" applyBorder="1" applyAlignment="1">
      <alignment horizontal="center" vertical="center"/>
    </xf>
    <xf numFmtId="164" fontId="14" fillId="0" borderId="92" xfId="0" applyNumberFormat="1" applyFont="1" applyFill="1" applyBorder="1" applyAlignment="1">
      <alignment horizontal="center" vertical="center"/>
    </xf>
    <xf numFmtId="0" fontId="14" fillId="0" borderId="95" xfId="0" applyFont="1" applyFill="1" applyBorder="1"/>
    <xf numFmtId="0" fontId="14" fillId="0" borderId="101" xfId="0" applyFont="1" applyFill="1" applyBorder="1"/>
    <xf numFmtId="165" fontId="14" fillId="0" borderId="92" xfId="0" applyNumberFormat="1" applyFont="1" applyFill="1" applyBorder="1" applyAlignment="1">
      <alignment horizontal="center" vertical="center"/>
    </xf>
    <xf numFmtId="0" fontId="14" fillId="0" borderId="92" xfId="0" applyFont="1" applyFill="1" applyBorder="1" applyAlignment="1">
      <alignment horizontal="center" vertical="center"/>
    </xf>
    <xf numFmtId="0" fontId="14" fillId="0" borderId="98" xfId="0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3" xfId="0" applyFont="1" applyFill="1" applyBorder="1"/>
    <xf numFmtId="0" fontId="4" fillId="8" borderId="104" xfId="0" applyFont="1" applyFill="1" applyBorder="1" applyAlignment="1">
      <alignment horizontal="center" vertical="center" textRotation="90"/>
    </xf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6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14" fillId="0" borderId="80" xfId="0" applyFont="1" applyFill="1" applyBorder="1"/>
    <xf numFmtId="2" fontId="14" fillId="0" borderId="92" xfId="0" applyNumberFormat="1" applyFont="1" applyFill="1" applyBorder="1" applyAlignment="1">
      <alignment horizontal="center" vertical="center"/>
    </xf>
    <xf numFmtId="0" fontId="14" fillId="7" borderId="43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/>
    </xf>
    <xf numFmtId="0" fontId="14" fillId="7" borderId="43" xfId="0" applyFont="1" applyFill="1" applyBorder="1" applyAlignment="1">
      <alignment horizontal="center"/>
    </xf>
    <xf numFmtId="0" fontId="14" fillId="0" borderId="43" xfId="0" applyFont="1" applyBorder="1"/>
    <xf numFmtId="0" fontId="14" fillId="0" borderId="44" xfId="0" applyFont="1" applyBorder="1"/>
    <xf numFmtId="0" fontId="18" fillId="6" borderId="76" xfId="0" applyFont="1" applyFill="1" applyBorder="1" applyAlignment="1">
      <alignment horizontal="center" vertical="center" wrapText="1"/>
    </xf>
    <xf numFmtId="0" fontId="14" fillId="0" borderId="73" xfId="0" applyFont="1" applyBorder="1"/>
    <xf numFmtId="0" fontId="18" fillId="6" borderId="92" xfId="0" applyFont="1" applyFill="1" applyBorder="1" applyAlignment="1">
      <alignment horizontal="center" vertical="center" wrapText="1"/>
    </xf>
    <xf numFmtId="0" fontId="14" fillId="0" borderId="95" xfId="0" applyFont="1" applyBorder="1"/>
    <xf numFmtId="0" fontId="18" fillId="6" borderId="92" xfId="0" applyFont="1" applyFill="1" applyBorder="1" applyAlignment="1">
      <alignment horizontal="center" vertical="center"/>
    </xf>
    <xf numFmtId="0" fontId="18" fillId="6" borderId="52" xfId="0" applyFont="1" applyFill="1" applyBorder="1" applyAlignment="1">
      <alignment horizontal="center" vertical="center"/>
    </xf>
    <xf numFmtId="0" fontId="14" fillId="0" borderId="40" xfId="0" applyFont="1" applyBorder="1"/>
    <xf numFmtId="0" fontId="14" fillId="0" borderId="78" xfId="0" applyFont="1" applyBorder="1"/>
    <xf numFmtId="0" fontId="14" fillId="0" borderId="0" xfId="0" applyFont="1" applyBorder="1"/>
    <xf numFmtId="0" fontId="18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8" fillId="6" borderId="39" xfId="0" applyFont="1" applyFill="1" applyBorder="1" applyAlignment="1">
      <alignment horizontal="center" vertical="center" textRotation="90" wrapText="1"/>
    </xf>
    <xf numFmtId="0" fontId="14" fillId="0" borderId="90" xfId="0" applyFont="1" applyBorder="1"/>
    <xf numFmtId="0" fontId="14" fillId="0" borderId="42" xfId="0" applyFont="1" applyBorder="1"/>
    <xf numFmtId="0" fontId="14" fillId="0" borderId="39" xfId="0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7" borderId="9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1" xfId="0" applyFont="1" applyBorder="1"/>
    <xf numFmtId="0" fontId="14" fillId="7" borderId="42" xfId="0" applyFont="1" applyFill="1" applyBorder="1" applyAlignment="1">
      <alignment horizontal="center" vertical="center" wrapText="1"/>
    </xf>
    <xf numFmtId="0" fontId="2" fillId="0" borderId="83" xfId="0" applyFont="1" applyFill="1" applyBorder="1" applyAlignment="1">
      <alignment horizontal="center" vertical="center" wrapText="1"/>
    </xf>
    <xf numFmtId="0" fontId="14" fillId="0" borderId="86" xfId="0" applyFont="1" applyFill="1" applyBorder="1"/>
    <xf numFmtId="0" fontId="2" fillId="0" borderId="62" xfId="0" applyFont="1" applyFill="1" applyBorder="1" applyAlignment="1">
      <alignment horizontal="center" vertical="center"/>
    </xf>
    <xf numFmtId="0" fontId="14" fillId="0" borderId="63" xfId="0" applyFont="1" applyFill="1" applyBorder="1"/>
    <xf numFmtId="0" fontId="2" fillId="0" borderId="62" xfId="0" applyFont="1" applyFill="1" applyBorder="1" applyAlignment="1">
      <alignment horizontal="center"/>
    </xf>
    <xf numFmtId="0" fontId="2" fillId="0" borderId="62" xfId="0" applyFont="1" applyFill="1" applyBorder="1" applyAlignment="1">
      <alignment horizontal="center" vertical="top"/>
    </xf>
    <xf numFmtId="0" fontId="15" fillId="0" borderId="62" xfId="0" applyFont="1" applyFill="1" applyBorder="1" applyAlignment="1">
      <alignment horizontal="center" vertical="center" wrapText="1"/>
    </xf>
    <xf numFmtId="0" fontId="16" fillId="0" borderId="89" xfId="0" applyFont="1" applyFill="1" applyBorder="1"/>
    <xf numFmtId="0" fontId="2" fillId="0" borderId="81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14" fillId="0" borderId="75" xfId="0" applyFont="1" applyFill="1" applyBorder="1"/>
    <xf numFmtId="0" fontId="2" fillId="0" borderId="83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 vertical="top"/>
    </xf>
    <xf numFmtId="0" fontId="14" fillId="0" borderId="54" xfId="0" applyFont="1" applyFill="1" applyBorder="1"/>
    <xf numFmtId="0" fontId="15" fillId="0" borderId="65" xfId="0" applyFont="1" applyFill="1" applyBorder="1" applyAlignment="1">
      <alignment horizontal="center"/>
    </xf>
    <xf numFmtId="0" fontId="16" fillId="0" borderId="65" xfId="0" applyFont="1" applyFill="1" applyBorder="1"/>
    <xf numFmtId="0" fontId="19" fillId="0" borderId="66" xfId="0" applyFont="1" applyFill="1" applyBorder="1" applyAlignment="1">
      <alignment horizontal="center"/>
    </xf>
    <xf numFmtId="0" fontId="16" fillId="0" borderId="67" xfId="0" applyFont="1" applyFill="1" applyBorder="1"/>
    <xf numFmtId="0" fontId="16" fillId="0" borderId="68" xfId="0" applyFont="1" applyFill="1" applyBorder="1"/>
    <xf numFmtId="0" fontId="19" fillId="0" borderId="69" xfId="0" applyFont="1" applyFill="1" applyBorder="1" applyAlignment="1">
      <alignment horizontal="center"/>
    </xf>
    <xf numFmtId="0" fontId="16" fillId="0" borderId="70" xfId="0" applyFont="1" applyFill="1" applyBorder="1"/>
    <xf numFmtId="0" fontId="18" fillId="6" borderId="72" xfId="0" applyFont="1" applyFill="1" applyBorder="1" applyAlignment="1">
      <alignment horizontal="center" vertical="center" wrapText="1"/>
    </xf>
    <xf numFmtId="0" fontId="14" fillId="0" borderId="79" xfId="0" applyFont="1" applyBorder="1"/>
    <xf numFmtId="0" fontId="14" fillId="0" borderId="87" xfId="0" applyFont="1" applyBorder="1"/>
    <xf numFmtId="0" fontId="20" fillId="0" borderId="73" xfId="0" applyFont="1" applyFill="1" applyBorder="1" applyAlignment="1">
      <alignment horizontal="center" vertical="center" wrapText="1"/>
    </xf>
    <xf numFmtId="0" fontId="2" fillId="0" borderId="74" xfId="0" applyFont="1" applyFill="1" applyBorder="1" applyAlignment="1">
      <alignment horizontal="center" vertical="center"/>
    </xf>
    <xf numFmtId="0" fontId="20" fillId="0" borderId="76" xfId="0" applyFont="1" applyFill="1" applyBorder="1" applyAlignment="1">
      <alignment horizontal="center" vertical="center" wrapText="1"/>
    </xf>
    <xf numFmtId="0" fontId="2" fillId="0" borderId="77" xfId="0" applyFont="1" applyFill="1" applyBorder="1" applyAlignment="1">
      <alignment horizontal="center" vertical="center"/>
    </xf>
    <xf numFmtId="0" fontId="15" fillId="0" borderId="78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0" xfId="0" applyFont="1" applyFill="1" applyBorder="1"/>
    <xf numFmtId="0" fontId="16" fillId="0" borderId="41" xfId="0" applyFont="1" applyFill="1" applyBorder="1"/>
    <xf numFmtId="0" fontId="16" fillId="0" borderId="82" xfId="0" applyFont="1" applyFill="1" applyBorder="1"/>
    <xf numFmtId="0" fontId="16" fillId="0" borderId="43" xfId="0" applyFont="1" applyFill="1" applyBorder="1"/>
    <xf numFmtId="0" fontId="16" fillId="0" borderId="44" xfId="0" applyFont="1" applyFill="1" applyBorder="1"/>
    <xf numFmtId="0" fontId="2" fillId="0" borderId="50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vertical="center"/>
    </xf>
    <xf numFmtId="0" fontId="15" fillId="0" borderId="52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vertical="center"/>
    </xf>
    <xf numFmtId="0" fontId="16" fillId="0" borderId="41" xfId="0" applyFont="1" applyFill="1" applyBorder="1" applyAlignment="1">
      <alignment vertical="center"/>
    </xf>
    <xf numFmtId="0" fontId="17" fillId="0" borderId="52" xfId="0" applyFont="1" applyFill="1" applyBorder="1" applyAlignment="1">
      <alignment horizontal="center" vertical="center"/>
    </xf>
    <xf numFmtId="0" fontId="16" fillId="0" borderId="51" xfId="0" applyFont="1" applyFill="1" applyBorder="1" applyAlignment="1">
      <alignment vertical="center"/>
    </xf>
    <xf numFmtId="0" fontId="18" fillId="6" borderId="39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center"/>
    </xf>
    <xf numFmtId="0" fontId="14" fillId="0" borderId="56" xfId="0" applyFont="1" applyFill="1" applyBorder="1"/>
    <xf numFmtId="0" fontId="2" fillId="0" borderId="57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4" fillId="0" borderId="59" xfId="0" applyFont="1" applyFill="1" applyBorder="1"/>
    <xf numFmtId="0" fontId="2" fillId="0" borderId="56" xfId="0" applyFont="1" applyFill="1" applyBorder="1" applyAlignment="1">
      <alignment horizontal="center" vertical="center" wrapText="1"/>
    </xf>
    <xf numFmtId="0" fontId="14" fillId="0" borderId="60" xfId="0" applyFont="1" applyFill="1" applyBorder="1"/>
    <xf numFmtId="0" fontId="13" fillId="0" borderId="40" xfId="0" applyFont="1" applyBorder="1" applyAlignment="1">
      <alignment horizontal="center" wrapText="1"/>
    </xf>
    <xf numFmtId="14" fontId="15" fillId="0" borderId="46" xfId="0" applyNumberFormat="1" applyFont="1" applyFill="1" applyBorder="1" applyAlignment="1">
      <alignment horizontal="center" vertical="center"/>
    </xf>
    <xf numFmtId="0" fontId="16" fillId="0" borderId="47" xfId="0" applyFont="1" applyFill="1" applyBorder="1"/>
    <xf numFmtId="0" fontId="15" fillId="0" borderId="46" xfId="0" applyFont="1" applyBorder="1" applyAlignment="1">
      <alignment horizontal="center" vertical="center" wrapText="1"/>
    </xf>
    <xf numFmtId="0" fontId="16" fillId="0" borderId="47" xfId="0" applyFont="1" applyBorder="1"/>
    <xf numFmtId="0" fontId="16" fillId="0" borderId="49" xfId="0" applyFont="1" applyBorder="1"/>
    <xf numFmtId="0" fontId="1" fillId="0" borderId="123" xfId="0" applyFont="1" applyFill="1" applyBorder="1" applyAlignment="1">
      <alignment horizontal="center"/>
    </xf>
    <xf numFmtId="0" fontId="1" fillId="0" borderId="124" xfId="0" applyFont="1" applyFill="1" applyBorder="1" applyAlignment="1">
      <alignment horizontal="center"/>
    </xf>
    <xf numFmtId="0" fontId="1" fillId="0" borderId="125" xfId="0" applyFont="1" applyFill="1" applyBorder="1" applyAlignment="1">
      <alignment horizontal="center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0" fontId="1" fillId="0" borderId="121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0" fillId="0" borderId="32" xfId="0" applyFont="1" applyBorder="1"/>
    <xf numFmtId="0" fontId="0" fillId="0" borderId="12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2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27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7" Type="http://schemas.openxmlformats.org/officeDocument/2006/relationships/image" Target="../media/image11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10.pn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openxmlformats.org/officeDocument/2006/relationships/image" Target="../media/image11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10.pn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21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466725"/>
          <a:ext cx="5334000" cy="3429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9</xdr:col>
      <xdr:colOff>0</xdr:colOff>
      <xdr:row>39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448175"/>
          <a:ext cx="5334000" cy="266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676737</xdr:colOff>
      <xdr:row>64</xdr:row>
      <xdr:rowOff>105832</xdr:rowOff>
    </xdr:from>
    <xdr:ext cx="251953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81937" y="12888382"/>
          <a:ext cx="251953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82</xdr:row>
      <xdr:rowOff>63500</xdr:rowOff>
    </xdr:from>
    <xdr:to>
      <xdr:col>5</xdr:col>
      <xdr:colOff>408063</xdr:colOff>
      <xdr:row>86</xdr:row>
      <xdr:rowOff>270709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6436975"/>
          <a:ext cx="3041196" cy="18074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82</xdr:row>
      <xdr:rowOff>63500</xdr:rowOff>
    </xdr:from>
    <xdr:to>
      <xdr:col>10</xdr:col>
      <xdr:colOff>445918</xdr:colOff>
      <xdr:row>86</xdr:row>
      <xdr:rowOff>270709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6436975"/>
          <a:ext cx="3007085" cy="18074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191887</xdr:rowOff>
    </xdr:from>
    <xdr:to>
      <xdr:col>5</xdr:col>
      <xdr:colOff>211002</xdr:colOff>
      <xdr:row>89</xdr:row>
      <xdr:rowOff>1812010</xdr:rowOff>
    </xdr:to>
    <xdr:pic>
      <xdr:nvPicPr>
        <xdr:cNvPr id="7" name="Imagen 1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693"/>
        <a:stretch/>
      </xdr:blipFill>
      <xdr:spPr>
        <a:xfrm>
          <a:off x="647700" y="19070437"/>
          <a:ext cx="2354127" cy="1620123"/>
        </a:xfrm>
        <a:prstGeom prst="rect">
          <a:avLst/>
        </a:prstGeom>
      </xdr:spPr>
    </xdr:pic>
    <xdr:clientData/>
  </xdr:twoCellAnchor>
  <xdr:twoCellAnchor editAs="oneCell">
    <xdr:from>
      <xdr:col>11</xdr:col>
      <xdr:colOff>63561</xdr:colOff>
      <xdr:row>89</xdr:row>
      <xdr:rowOff>265970</xdr:rowOff>
    </xdr:from>
    <xdr:to>
      <xdr:col>12</xdr:col>
      <xdr:colOff>533542</xdr:colOff>
      <xdr:row>89</xdr:row>
      <xdr:rowOff>1886093</xdr:rowOff>
    </xdr:to>
    <xdr:pic>
      <xdr:nvPicPr>
        <xdr:cNvPr id="8" name="Imagen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636" y="19144520"/>
          <a:ext cx="1184356" cy="1620123"/>
        </a:xfrm>
        <a:prstGeom prst="rect">
          <a:avLst/>
        </a:prstGeom>
      </xdr:spPr>
    </xdr:pic>
    <xdr:clientData/>
  </xdr:twoCellAnchor>
  <xdr:twoCellAnchor editAs="oneCell">
    <xdr:from>
      <xdr:col>6</xdr:col>
      <xdr:colOff>586847</xdr:colOff>
      <xdr:row>89</xdr:row>
      <xdr:rowOff>167785</xdr:rowOff>
    </xdr:from>
    <xdr:to>
      <xdr:col>10</xdr:col>
      <xdr:colOff>18263</xdr:colOff>
      <xdr:row>89</xdr:row>
      <xdr:rowOff>1790845</xdr:rowOff>
    </xdr:to>
    <xdr:pic>
      <xdr:nvPicPr>
        <xdr:cNvPr id="9" name="Imagen 1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096"/>
        <a:stretch/>
      </xdr:blipFill>
      <xdr:spPr>
        <a:xfrm>
          <a:off x="4092047" y="19046335"/>
          <a:ext cx="2288916" cy="1623060"/>
        </a:xfrm>
        <a:prstGeom prst="rect">
          <a:avLst/>
        </a:prstGeom>
      </xdr:spPr>
    </xdr:pic>
    <xdr:clientData/>
  </xdr:twoCellAnchor>
  <xdr:twoCellAnchor editAs="oneCell">
    <xdr:from>
      <xdr:col>12</xdr:col>
      <xdr:colOff>700254</xdr:colOff>
      <xdr:row>89</xdr:row>
      <xdr:rowOff>254000</xdr:rowOff>
    </xdr:from>
    <xdr:to>
      <xdr:col>16</xdr:col>
      <xdr:colOff>45539</xdr:colOff>
      <xdr:row>89</xdr:row>
      <xdr:rowOff>1886094</xdr:rowOff>
    </xdr:to>
    <xdr:pic>
      <xdr:nvPicPr>
        <xdr:cNvPr id="10" name="Imagen 18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76"/>
        <a:stretch/>
      </xdr:blipFill>
      <xdr:spPr>
        <a:xfrm>
          <a:off x="8491704" y="19132550"/>
          <a:ext cx="2202785" cy="1632094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58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1841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1841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61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33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378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33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378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61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330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330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61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401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401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61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371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371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61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397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397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58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1810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1810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58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795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795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58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888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1888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271459</xdr:colOff>
      <xdr:row>1</xdr:row>
      <xdr:rowOff>15062</xdr:rowOff>
    </xdr:from>
    <xdr:to>
      <xdr:col>3</xdr:col>
      <xdr:colOff>414334</xdr:colOff>
      <xdr:row>2</xdr:row>
      <xdr:rowOff>261595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3365" y="74593"/>
          <a:ext cx="1500188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26194</xdr:rowOff>
    </xdr:from>
    <xdr:to>
      <xdr:col>15</xdr:col>
      <xdr:colOff>338638</xdr:colOff>
      <xdr:row>2</xdr:row>
      <xdr:rowOff>235744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10080" y="8572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664831</xdr:colOff>
      <xdr:row>69</xdr:row>
      <xdr:rowOff>105832</xdr:rowOff>
    </xdr:from>
    <xdr:ext cx="251953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1" y="13745632"/>
          <a:ext cx="251953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100542</xdr:colOff>
      <xdr:row>86</xdr:row>
      <xdr:rowOff>27782</xdr:rowOff>
    </xdr:from>
    <xdr:to>
      <xdr:col>5</xdr:col>
      <xdr:colOff>360438</xdr:colOff>
      <xdr:row>91</xdr:row>
      <xdr:rowOff>211178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10067" y="17039432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260614</xdr:colOff>
      <xdr:row>85</xdr:row>
      <xdr:rowOff>182562</xdr:rowOff>
    </xdr:from>
    <xdr:to>
      <xdr:col>10</xdr:col>
      <xdr:colOff>410199</xdr:colOff>
      <xdr:row>91</xdr:row>
      <xdr:rowOff>175458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65814" y="17003712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495300</xdr:colOff>
      <xdr:row>94</xdr:row>
      <xdr:rowOff>95250</xdr:rowOff>
    </xdr:from>
    <xdr:to>
      <xdr:col>5</xdr:col>
      <xdr:colOff>37800</xdr:colOff>
      <xdr:row>94</xdr:row>
      <xdr:rowOff>1895250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9631025"/>
          <a:ext cx="23238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645300</xdr:colOff>
      <xdr:row>94</xdr:row>
      <xdr:rowOff>83325</xdr:rowOff>
    </xdr:from>
    <xdr:to>
      <xdr:col>10</xdr:col>
      <xdr:colOff>111600</xdr:colOff>
      <xdr:row>94</xdr:row>
      <xdr:rowOff>1883325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0500" y="19619100"/>
          <a:ext cx="2323800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23775</xdr:colOff>
      <xdr:row>94</xdr:row>
      <xdr:rowOff>166650</xdr:rowOff>
    </xdr:from>
    <xdr:to>
      <xdr:col>15</xdr:col>
      <xdr:colOff>223500</xdr:colOff>
      <xdr:row>94</xdr:row>
      <xdr:rowOff>1966650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5225" y="19702425"/>
          <a:ext cx="234285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699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699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66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235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235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66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187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187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66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258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258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66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228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228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66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255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255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667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667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652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652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746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746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271459</xdr:colOff>
      <xdr:row>1</xdr:row>
      <xdr:rowOff>15062</xdr:rowOff>
    </xdr:from>
    <xdr:to>
      <xdr:col>3</xdr:col>
      <xdr:colOff>414334</xdr:colOff>
      <xdr:row>3</xdr:row>
      <xdr:rowOff>4420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80984" y="7221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26194</xdr:rowOff>
    </xdr:from>
    <xdr:to>
      <xdr:col>15</xdr:col>
      <xdr:colOff>338638</xdr:colOff>
      <xdr:row>2</xdr:row>
      <xdr:rowOff>264319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02936" y="83344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664831</xdr:colOff>
      <xdr:row>69</xdr:row>
      <xdr:rowOff>105833</xdr:rowOff>
    </xdr:from>
    <xdr:ext cx="263859" cy="15610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1" y="13745633"/>
          <a:ext cx="263859" cy="1561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86</xdr:row>
      <xdr:rowOff>3969</xdr:rowOff>
    </xdr:from>
    <xdr:to>
      <xdr:col>5</xdr:col>
      <xdr:colOff>408063</xdr:colOff>
      <xdr:row>90</xdr:row>
      <xdr:rowOff>80209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015619"/>
          <a:ext cx="3041196" cy="180026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284427</xdr:colOff>
      <xdr:row>85</xdr:row>
      <xdr:rowOff>182562</xdr:rowOff>
    </xdr:from>
    <xdr:to>
      <xdr:col>10</xdr:col>
      <xdr:colOff>434012</xdr:colOff>
      <xdr:row>90</xdr:row>
      <xdr:rowOff>68302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89627" y="17003712"/>
          <a:ext cx="3007085" cy="180026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638175</xdr:colOff>
      <xdr:row>94</xdr:row>
      <xdr:rowOff>133350</xdr:rowOff>
    </xdr:from>
    <xdr:to>
      <xdr:col>5</xdr:col>
      <xdr:colOff>180675</xdr:colOff>
      <xdr:row>94</xdr:row>
      <xdr:rowOff>1933350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9745325"/>
          <a:ext cx="23238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654825</xdr:colOff>
      <xdr:row>94</xdr:row>
      <xdr:rowOff>140475</xdr:rowOff>
    </xdr:from>
    <xdr:to>
      <xdr:col>10</xdr:col>
      <xdr:colOff>121125</xdr:colOff>
      <xdr:row>94</xdr:row>
      <xdr:rowOff>1940475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0025" y="19752450"/>
          <a:ext cx="23238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700050</xdr:colOff>
      <xdr:row>94</xdr:row>
      <xdr:rowOff>147600</xdr:rowOff>
    </xdr:from>
    <xdr:to>
      <xdr:col>15</xdr:col>
      <xdr:colOff>166350</xdr:colOff>
      <xdr:row>94</xdr:row>
      <xdr:rowOff>1947600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7125" y="19759575"/>
          <a:ext cx="232380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699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699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66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235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235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66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187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187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66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258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258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66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228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228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66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255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255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667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667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652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652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746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746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271459</xdr:colOff>
      <xdr:row>1</xdr:row>
      <xdr:rowOff>15062</xdr:rowOff>
    </xdr:from>
    <xdr:to>
      <xdr:col>3</xdr:col>
      <xdr:colOff>414334</xdr:colOff>
      <xdr:row>3</xdr:row>
      <xdr:rowOff>4420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80984" y="7221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26194</xdr:rowOff>
    </xdr:from>
    <xdr:to>
      <xdr:col>15</xdr:col>
      <xdr:colOff>338638</xdr:colOff>
      <xdr:row>2</xdr:row>
      <xdr:rowOff>264319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02936" y="83344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676737</xdr:colOff>
      <xdr:row>84</xdr:row>
      <xdr:rowOff>105832</xdr:rowOff>
    </xdr:from>
    <xdr:ext cx="287671" cy="156103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81937" y="16317382"/>
          <a:ext cx="287671" cy="1561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243417</xdr:colOff>
      <xdr:row>100</xdr:row>
      <xdr:rowOff>182562</xdr:rowOff>
    </xdr:from>
    <xdr:to>
      <xdr:col>5</xdr:col>
      <xdr:colOff>503313</xdr:colOff>
      <xdr:row>106</xdr:row>
      <xdr:rowOff>8772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2942" y="19575462"/>
          <a:ext cx="3041196" cy="18074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308239</xdr:colOff>
      <xdr:row>100</xdr:row>
      <xdr:rowOff>170656</xdr:rowOff>
    </xdr:from>
    <xdr:to>
      <xdr:col>10</xdr:col>
      <xdr:colOff>457824</xdr:colOff>
      <xdr:row>105</xdr:row>
      <xdr:rowOff>282616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13439" y="19563556"/>
          <a:ext cx="3007085" cy="18074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78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5270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5807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5759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5830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5800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5826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5239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5224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5317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271459</xdr:colOff>
      <xdr:row>1</xdr:row>
      <xdr:rowOff>15062</xdr:rowOff>
    </xdr:from>
    <xdr:to>
      <xdr:col>3</xdr:col>
      <xdr:colOff>414334</xdr:colOff>
      <xdr:row>2</xdr:row>
      <xdr:rowOff>290170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3365" y="74593"/>
          <a:ext cx="1500188" cy="65610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382736</xdr:colOff>
      <xdr:row>1</xdr:row>
      <xdr:rowOff>26194</xdr:rowOff>
    </xdr:from>
    <xdr:to>
      <xdr:col>15</xdr:col>
      <xdr:colOff>338638</xdr:colOff>
      <xdr:row>2</xdr:row>
      <xdr:rowOff>264319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602936" y="83344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workbookViewId="0">
      <selection activeCell="K37" sqref="K37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0" t="s">
        <v>40</v>
      </c>
      <c r="C2" s="100"/>
      <c r="D2" s="100"/>
      <c r="E2" s="100"/>
      <c r="F2" s="100"/>
      <c r="G2" s="100"/>
      <c r="H2" s="100"/>
      <c r="I2" s="100"/>
      <c r="J2" s="100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6"/>
      <c r="D4" s="106"/>
      <c r="E4" s="106"/>
      <c r="F4" s="106"/>
      <c r="G4" s="106"/>
      <c r="H4" s="106"/>
      <c r="I4" s="106"/>
      <c r="J4" s="107"/>
    </row>
    <row r="5" spans="2:10" x14ac:dyDescent="0.25">
      <c r="B5" s="104"/>
      <c r="C5" s="106"/>
      <c r="D5" s="106"/>
      <c r="E5" s="106"/>
      <c r="F5" s="106"/>
      <c r="G5" s="106"/>
      <c r="H5" s="106"/>
      <c r="I5" s="106"/>
      <c r="J5" s="107"/>
    </row>
    <row r="6" spans="2:10" x14ac:dyDescent="0.25">
      <c r="B6" s="104"/>
      <c r="C6" s="106"/>
      <c r="D6" s="106"/>
      <c r="E6" s="106"/>
      <c r="F6" s="106"/>
      <c r="G6" s="106"/>
      <c r="H6" s="106"/>
      <c r="I6" s="106"/>
      <c r="J6" s="107"/>
    </row>
    <row r="7" spans="2:10" x14ac:dyDescent="0.25">
      <c r="B7" s="104"/>
      <c r="C7" s="106"/>
      <c r="D7" s="106"/>
      <c r="E7" s="106"/>
      <c r="F7" s="106"/>
      <c r="G7" s="106"/>
      <c r="H7" s="106"/>
      <c r="I7" s="106"/>
      <c r="J7" s="107"/>
    </row>
    <row r="8" spans="2:10" x14ac:dyDescent="0.25">
      <c r="B8" s="104"/>
      <c r="C8" s="106"/>
      <c r="D8" s="106"/>
      <c r="E8" s="106"/>
      <c r="F8" s="106"/>
      <c r="G8" s="106"/>
      <c r="H8" s="106"/>
      <c r="I8" s="106"/>
      <c r="J8" s="107"/>
    </row>
    <row r="9" spans="2:10" x14ac:dyDescent="0.25">
      <c r="B9" s="104"/>
      <c r="C9" s="106"/>
      <c r="D9" s="106"/>
      <c r="E9" s="106"/>
      <c r="F9" s="106"/>
      <c r="G9" s="106"/>
      <c r="H9" s="106"/>
      <c r="I9" s="106"/>
      <c r="J9" s="107"/>
    </row>
    <row r="10" spans="2:10" x14ac:dyDescent="0.25">
      <c r="B10" s="104"/>
      <c r="C10" s="106"/>
      <c r="D10" s="106"/>
      <c r="E10" s="106"/>
      <c r="F10" s="106"/>
      <c r="G10" s="106"/>
      <c r="H10" s="106"/>
      <c r="I10" s="106"/>
      <c r="J10" s="107"/>
    </row>
    <row r="11" spans="2:10" x14ac:dyDescent="0.25">
      <c r="B11" s="104"/>
      <c r="C11" s="106"/>
      <c r="D11" s="106"/>
      <c r="E11" s="106"/>
      <c r="F11" s="106"/>
      <c r="G11" s="106"/>
      <c r="H11" s="106"/>
      <c r="I11" s="106"/>
      <c r="J11" s="107"/>
    </row>
    <row r="12" spans="2:10" x14ac:dyDescent="0.25">
      <c r="B12" s="104"/>
      <c r="C12" s="106"/>
      <c r="D12" s="106"/>
      <c r="E12" s="106"/>
      <c r="F12" s="106"/>
      <c r="G12" s="106"/>
      <c r="H12" s="106"/>
      <c r="I12" s="106"/>
      <c r="J12" s="107"/>
    </row>
    <row r="13" spans="2:10" x14ac:dyDescent="0.25">
      <c r="B13" s="104"/>
      <c r="C13" s="106"/>
      <c r="D13" s="106"/>
      <c r="E13" s="106"/>
      <c r="F13" s="106"/>
      <c r="G13" s="106"/>
      <c r="H13" s="106"/>
      <c r="I13" s="106"/>
      <c r="J13" s="107"/>
    </row>
    <row r="14" spans="2:10" x14ac:dyDescent="0.25">
      <c r="B14" s="104"/>
      <c r="C14" s="106"/>
      <c r="D14" s="106"/>
      <c r="E14" s="106"/>
      <c r="F14" s="106"/>
      <c r="G14" s="106"/>
      <c r="H14" s="106"/>
      <c r="I14" s="106"/>
      <c r="J14" s="107"/>
    </row>
    <row r="15" spans="2:10" x14ac:dyDescent="0.25">
      <c r="B15" s="104"/>
      <c r="C15" s="106"/>
      <c r="D15" s="106"/>
      <c r="E15" s="106"/>
      <c r="F15" s="106"/>
      <c r="G15" s="106"/>
      <c r="H15" s="106"/>
      <c r="I15" s="106"/>
      <c r="J15" s="107"/>
    </row>
    <row r="16" spans="2:10" x14ac:dyDescent="0.25">
      <c r="B16" s="104"/>
      <c r="C16" s="106"/>
      <c r="D16" s="106"/>
      <c r="E16" s="106"/>
      <c r="F16" s="106"/>
      <c r="G16" s="106"/>
      <c r="H16" s="106"/>
      <c r="I16" s="106"/>
      <c r="J16" s="107"/>
    </row>
    <row r="17" spans="2:10" x14ac:dyDescent="0.25">
      <c r="B17" s="104"/>
      <c r="C17" s="106"/>
      <c r="D17" s="106"/>
      <c r="E17" s="106"/>
      <c r="F17" s="106"/>
      <c r="G17" s="106"/>
      <c r="H17" s="106"/>
      <c r="I17" s="106"/>
      <c r="J17" s="107"/>
    </row>
    <row r="18" spans="2:10" x14ac:dyDescent="0.25">
      <c r="B18" s="104"/>
      <c r="C18" s="106"/>
      <c r="D18" s="106"/>
      <c r="E18" s="106"/>
      <c r="F18" s="106"/>
      <c r="G18" s="106"/>
      <c r="H18" s="106"/>
      <c r="I18" s="106"/>
      <c r="J18" s="107"/>
    </row>
    <row r="19" spans="2:10" x14ac:dyDescent="0.25">
      <c r="B19" s="104"/>
      <c r="C19" s="106"/>
      <c r="D19" s="106"/>
      <c r="E19" s="106"/>
      <c r="F19" s="106"/>
      <c r="G19" s="106"/>
      <c r="H19" s="106"/>
      <c r="I19" s="106"/>
      <c r="J19" s="107"/>
    </row>
    <row r="20" spans="2:10" x14ac:dyDescent="0.25">
      <c r="B20" s="104"/>
      <c r="C20" s="106"/>
      <c r="D20" s="106"/>
      <c r="E20" s="106"/>
      <c r="F20" s="106"/>
      <c r="G20" s="106"/>
      <c r="H20" s="106"/>
      <c r="I20" s="106"/>
      <c r="J20" s="107"/>
    </row>
    <row r="21" spans="2:10" x14ac:dyDescent="0.25">
      <c r="B21" s="104"/>
      <c r="C21" s="106"/>
      <c r="D21" s="106"/>
      <c r="E21" s="106"/>
      <c r="F21" s="106"/>
      <c r="G21" s="106"/>
      <c r="H21" s="106"/>
      <c r="I21" s="106"/>
      <c r="J21" s="107"/>
    </row>
    <row r="22" spans="2:10" ht="6.75" customHeight="1" x14ac:dyDescent="0.25">
      <c r="B22" s="105"/>
      <c r="C22" s="109"/>
      <c r="D22" s="109"/>
      <c r="E22" s="109"/>
      <c r="F22" s="109"/>
      <c r="G22" s="109"/>
      <c r="H22" s="109"/>
      <c r="I22" s="109"/>
      <c r="J22" s="108"/>
    </row>
    <row r="23" spans="2:10" x14ac:dyDescent="0.25">
      <c r="B23" s="1"/>
      <c r="C23" s="1"/>
      <c r="D23" s="1"/>
      <c r="E23" s="1"/>
      <c r="F23" s="1"/>
      <c r="G23" s="1"/>
      <c r="H23" s="1"/>
      <c r="I23" s="1"/>
    </row>
    <row r="24" spans="2:10" x14ac:dyDescent="0.25">
      <c r="B24" s="100" t="s">
        <v>41</v>
      </c>
      <c r="C24" s="100"/>
      <c r="D24" s="100"/>
      <c r="E24" s="100"/>
      <c r="F24" s="100"/>
      <c r="G24" s="100"/>
      <c r="H24" s="100"/>
      <c r="I24" s="100"/>
      <c r="J24" s="100"/>
    </row>
    <row r="25" spans="2:10" ht="6.75" customHeight="1" x14ac:dyDescent="0.25">
      <c r="B25" s="101"/>
      <c r="C25" s="102"/>
      <c r="D25" s="102"/>
      <c r="E25" s="102"/>
      <c r="F25" s="102"/>
      <c r="G25" s="102"/>
      <c r="H25" s="102"/>
      <c r="I25" s="102"/>
      <c r="J25" s="103"/>
    </row>
    <row r="26" spans="2:10" x14ac:dyDescent="0.25">
      <c r="B26" s="104"/>
      <c r="C26" s="106"/>
      <c r="D26" s="106"/>
      <c r="E26" s="106"/>
      <c r="F26" s="106"/>
      <c r="G26" s="106"/>
      <c r="H26" s="106"/>
      <c r="I26" s="106"/>
      <c r="J26" s="107"/>
    </row>
    <row r="27" spans="2:10" x14ac:dyDescent="0.25">
      <c r="B27" s="104"/>
      <c r="C27" s="106"/>
      <c r="D27" s="106"/>
      <c r="E27" s="106"/>
      <c r="F27" s="106"/>
      <c r="G27" s="106"/>
      <c r="H27" s="106"/>
      <c r="I27" s="106"/>
      <c r="J27" s="107"/>
    </row>
    <row r="28" spans="2:10" x14ac:dyDescent="0.25">
      <c r="B28" s="104"/>
      <c r="C28" s="106"/>
      <c r="D28" s="106"/>
      <c r="E28" s="106"/>
      <c r="F28" s="106"/>
      <c r="G28" s="106"/>
      <c r="H28" s="106"/>
      <c r="I28" s="106"/>
      <c r="J28" s="107"/>
    </row>
    <row r="29" spans="2:10" x14ac:dyDescent="0.25">
      <c r="B29" s="104"/>
      <c r="C29" s="106"/>
      <c r="D29" s="106"/>
      <c r="E29" s="106"/>
      <c r="F29" s="106"/>
      <c r="G29" s="106"/>
      <c r="H29" s="106"/>
      <c r="I29" s="106"/>
      <c r="J29" s="107"/>
    </row>
    <row r="30" spans="2:10" x14ac:dyDescent="0.25">
      <c r="B30" s="104"/>
      <c r="C30" s="106"/>
      <c r="D30" s="106"/>
      <c r="E30" s="106"/>
      <c r="F30" s="106"/>
      <c r="G30" s="106"/>
      <c r="H30" s="106"/>
      <c r="I30" s="106"/>
      <c r="J30" s="107"/>
    </row>
    <row r="31" spans="2:10" x14ac:dyDescent="0.25">
      <c r="B31" s="104"/>
      <c r="C31" s="106"/>
      <c r="D31" s="106"/>
      <c r="E31" s="106"/>
      <c r="F31" s="106"/>
      <c r="G31" s="106"/>
      <c r="H31" s="106"/>
      <c r="I31" s="106"/>
      <c r="J31" s="107"/>
    </row>
    <row r="32" spans="2:10" x14ac:dyDescent="0.25">
      <c r="B32" s="104"/>
      <c r="C32" s="106"/>
      <c r="D32" s="106"/>
      <c r="E32" s="106"/>
      <c r="F32" s="106"/>
      <c r="G32" s="106"/>
      <c r="H32" s="106"/>
      <c r="I32" s="106"/>
      <c r="J32" s="107"/>
    </row>
    <row r="33" spans="2:10" x14ac:dyDescent="0.25">
      <c r="B33" s="104"/>
      <c r="C33" s="106"/>
      <c r="D33" s="106"/>
      <c r="E33" s="106"/>
      <c r="F33" s="106"/>
      <c r="G33" s="106"/>
      <c r="H33" s="106"/>
      <c r="I33" s="106"/>
      <c r="J33" s="107"/>
    </row>
    <row r="34" spans="2:10" x14ac:dyDescent="0.25">
      <c r="B34" s="104"/>
      <c r="C34" s="106"/>
      <c r="D34" s="106"/>
      <c r="E34" s="106"/>
      <c r="F34" s="106"/>
      <c r="G34" s="106"/>
      <c r="H34" s="106"/>
      <c r="I34" s="106"/>
      <c r="J34" s="107"/>
    </row>
    <row r="35" spans="2:10" x14ac:dyDescent="0.25">
      <c r="B35" s="104"/>
      <c r="C35" s="106"/>
      <c r="D35" s="106"/>
      <c r="E35" s="106"/>
      <c r="F35" s="106"/>
      <c r="G35" s="106"/>
      <c r="H35" s="106"/>
      <c r="I35" s="106"/>
      <c r="J35" s="107"/>
    </row>
    <row r="36" spans="2:10" x14ac:dyDescent="0.25">
      <c r="B36" s="104"/>
      <c r="C36" s="106"/>
      <c r="D36" s="106"/>
      <c r="E36" s="106"/>
      <c r="F36" s="106"/>
      <c r="G36" s="106"/>
      <c r="H36" s="106"/>
      <c r="I36" s="106"/>
      <c r="J36" s="107"/>
    </row>
    <row r="37" spans="2:10" x14ac:dyDescent="0.25">
      <c r="B37" s="104"/>
      <c r="C37" s="106"/>
      <c r="D37" s="106"/>
      <c r="E37" s="106"/>
      <c r="F37" s="106"/>
      <c r="G37" s="106"/>
      <c r="H37" s="106"/>
      <c r="I37" s="106"/>
      <c r="J37" s="107"/>
    </row>
    <row r="38" spans="2:10" x14ac:dyDescent="0.25">
      <c r="B38" s="104"/>
      <c r="C38" s="106"/>
      <c r="D38" s="106"/>
      <c r="E38" s="106"/>
      <c r="F38" s="106"/>
      <c r="G38" s="106"/>
      <c r="H38" s="106"/>
      <c r="I38" s="106"/>
      <c r="J38" s="107"/>
    </row>
    <row r="39" spans="2:10" x14ac:dyDescent="0.25">
      <c r="B39" s="104"/>
      <c r="C39" s="106"/>
      <c r="D39" s="106"/>
      <c r="E39" s="106"/>
      <c r="F39" s="106"/>
      <c r="G39" s="106"/>
      <c r="H39" s="106"/>
      <c r="I39" s="106"/>
      <c r="J39" s="107"/>
    </row>
    <row r="40" spans="2:10" ht="6.75" customHeight="1" x14ac:dyDescent="0.25">
      <c r="B40" s="105"/>
      <c r="C40" s="109"/>
      <c r="D40" s="109"/>
      <c r="E40" s="109"/>
      <c r="F40" s="109"/>
      <c r="G40" s="109"/>
      <c r="H40" s="109"/>
      <c r="I40" s="109"/>
      <c r="J40" s="108"/>
    </row>
  </sheetData>
  <mergeCells count="12">
    <mergeCell ref="B2:J2"/>
    <mergeCell ref="C4:I21"/>
    <mergeCell ref="B3:J3"/>
    <mergeCell ref="B4:B22"/>
    <mergeCell ref="J4:J22"/>
    <mergeCell ref="C22:I22"/>
    <mergeCell ref="B24:J24"/>
    <mergeCell ref="B25:J25"/>
    <mergeCell ref="B26:B40"/>
    <mergeCell ref="C26:I39"/>
    <mergeCell ref="J26:J40"/>
    <mergeCell ref="C40:I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3"/>
  <sheetViews>
    <sheetView tabSelected="1" view="pageBreakPreview" zoomScale="80" zoomScaleSheetLayoutView="80" zoomScalePageLayoutView="110" workbookViewId="0">
      <selection activeCell="A5" sqref="A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0"/>
      <c r="B2" s="311"/>
      <c r="C2" s="312"/>
      <c r="D2" s="313"/>
      <c r="E2" s="314" t="s">
        <v>121</v>
      </c>
      <c r="F2" s="315"/>
      <c r="G2" s="315"/>
      <c r="H2" s="315"/>
      <c r="I2" s="315"/>
      <c r="J2" s="315"/>
      <c r="K2" s="315"/>
      <c r="L2" s="315"/>
      <c r="M2" s="315"/>
      <c r="N2" s="315"/>
      <c r="O2" s="316"/>
      <c r="P2" s="317"/>
    </row>
    <row r="3" spans="1:26" s="2" customFormat="1" ht="22.5" customHeight="1" thickBot="1" x14ac:dyDescent="0.3">
      <c r="A3" s="310"/>
      <c r="B3" s="318"/>
      <c r="C3" s="319"/>
      <c r="D3" s="320"/>
      <c r="E3" s="321"/>
      <c r="F3" s="322"/>
      <c r="G3" s="322"/>
      <c r="H3" s="322"/>
      <c r="I3" s="322"/>
      <c r="J3" s="322"/>
      <c r="K3" s="322"/>
      <c r="L3" s="322"/>
      <c r="M3" s="322"/>
      <c r="N3" s="322"/>
      <c r="O3" s="323"/>
      <c r="P3" s="324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43045</v>
      </c>
      <c r="D5" s="298"/>
      <c r="E5" s="22" t="s">
        <v>1</v>
      </c>
      <c r="F5" s="23">
        <v>1</v>
      </c>
      <c r="G5" s="24" t="s">
        <v>2</v>
      </c>
      <c r="H5" s="299" t="s">
        <v>122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109</v>
      </c>
      <c r="E6" s="283"/>
      <c r="F6" s="283"/>
      <c r="G6" s="283"/>
      <c r="H6" s="283"/>
      <c r="I6" s="284"/>
      <c r="J6" s="28" t="s">
        <v>4</v>
      </c>
      <c r="K6" s="285" t="s">
        <v>110</v>
      </c>
      <c r="L6" s="284"/>
      <c r="M6" s="285" t="s">
        <v>111</v>
      </c>
      <c r="N6" s="286"/>
      <c r="O6" s="29" t="s">
        <v>54</v>
      </c>
      <c r="P6" s="30">
        <v>1631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98" t="s">
        <v>5</v>
      </c>
      <c r="K9" s="269" t="s">
        <v>64</v>
      </c>
      <c r="L9" s="273" t="s">
        <v>112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38" t="s">
        <v>5</v>
      </c>
      <c r="G10" s="212"/>
      <c r="H10" s="253" t="s">
        <v>10</v>
      </c>
      <c r="I10" s="248"/>
      <c r="J10" s="39"/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0.67708333333333337</v>
      </c>
      <c r="F11" s="256" t="s">
        <v>12</v>
      </c>
      <c r="G11" s="255"/>
      <c r="H11" s="41">
        <v>1.3</v>
      </c>
      <c r="I11" s="257" t="s">
        <v>13</v>
      </c>
      <c r="J11" s="258"/>
      <c r="K11" s="41">
        <v>20</v>
      </c>
      <c r="L11" s="254" t="s">
        <v>14</v>
      </c>
      <c r="M11" s="255"/>
      <c r="N11" s="42">
        <v>3.34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0.70486111111111116</v>
      </c>
      <c r="F12" s="249" t="s">
        <v>16</v>
      </c>
      <c r="G12" s="248"/>
      <c r="H12" s="41">
        <v>1.3</v>
      </c>
      <c r="I12" s="250" t="s">
        <v>17</v>
      </c>
      <c r="J12" s="248"/>
      <c r="K12" s="40">
        <v>0.67361111111111116</v>
      </c>
      <c r="L12" s="247" t="s">
        <v>18</v>
      </c>
      <c r="M12" s="248"/>
      <c r="N12" s="43">
        <v>0.4</v>
      </c>
      <c r="O12" s="251">
        <v>3.04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 t="s">
        <v>70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77</v>
      </c>
      <c r="I16" s="228" t="s">
        <v>78</v>
      </c>
      <c r="J16" s="96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0"/>
      <c r="C17" s="222"/>
      <c r="D17" s="222"/>
      <c r="E17" s="222"/>
      <c r="F17" s="226"/>
      <c r="G17" s="227"/>
      <c r="H17" s="222"/>
      <c r="I17" s="229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3.04</v>
      </c>
      <c r="D18" s="54">
        <v>0</v>
      </c>
      <c r="E18" s="55"/>
      <c r="F18" s="56"/>
      <c r="G18" s="95"/>
      <c r="H18" s="57"/>
      <c r="I18" s="58"/>
      <c r="J18" s="94"/>
      <c r="K18" s="55"/>
      <c r="L18" s="55"/>
      <c r="M18" s="55"/>
      <c r="N18" s="55"/>
      <c r="O18" s="55"/>
      <c r="P18" s="59"/>
      <c r="Q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0">
        <v>1</v>
      </c>
      <c r="C19" s="213">
        <f>+C18+$N$12</f>
        <v>3.44</v>
      </c>
      <c r="D19" s="190">
        <v>0.19500000000000001</v>
      </c>
      <c r="E19" s="190">
        <v>0.115</v>
      </c>
      <c r="F19" s="61" t="s">
        <v>79</v>
      </c>
      <c r="G19" s="62">
        <v>0</v>
      </c>
      <c r="H19" s="63"/>
      <c r="I19" s="64"/>
      <c r="J19" s="65">
        <v>0.114</v>
      </c>
      <c r="K19" s="190">
        <f>+IF(E19&lt;=0.12,(J21),(IF(E19&lt;0.16,((J20+2*J21+J22)/4),IF(E19&gt;=0.16,((J19+3*J20+2*J21+3*J22+J23)/10)))))</f>
        <v>0.23799999999999999</v>
      </c>
      <c r="L19" s="190">
        <f>ROUND(+(D18+D19)/2*(C19-C18),3)</f>
        <v>3.9E-2</v>
      </c>
      <c r="M19" s="190">
        <f>ROUND(+K19*L19,4)</f>
        <v>9.2999999999999992E-3</v>
      </c>
      <c r="N19" s="193">
        <f>ROUND(+M19/$M$78*100,2)</f>
        <v>5.65</v>
      </c>
      <c r="O19" s="194"/>
      <c r="P19" s="195"/>
      <c r="Q19" s="52"/>
      <c r="S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1"/>
      <c r="C20" s="191"/>
      <c r="D20" s="191"/>
      <c r="E20" s="191"/>
      <c r="F20" s="66" t="s">
        <v>80</v>
      </c>
      <c r="G20" s="67" t="str">
        <f>IF(E19&lt;0.125,"NA",IF(0.125&lt;=E19,(0.2*E19)))</f>
        <v>NA</v>
      </c>
      <c r="H20" s="68"/>
      <c r="I20" s="69"/>
      <c r="J20" s="70"/>
      <c r="K20" s="191"/>
      <c r="L20" s="191"/>
      <c r="M20" s="191"/>
      <c r="N20" s="191"/>
      <c r="O20" s="191"/>
      <c r="P20" s="196"/>
      <c r="Q20" s="52"/>
      <c r="S20" s="52"/>
      <c r="T20" s="99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1"/>
      <c r="C21" s="191"/>
      <c r="D21" s="191"/>
      <c r="E21" s="191"/>
      <c r="F21" s="66" t="s">
        <v>81</v>
      </c>
      <c r="G21" s="67">
        <f>+E19*0.4</f>
        <v>4.6000000000000006E-2</v>
      </c>
      <c r="H21" s="68"/>
      <c r="I21" s="69"/>
      <c r="J21" s="70">
        <v>0.23799999999999999</v>
      </c>
      <c r="K21" s="191"/>
      <c r="L21" s="191"/>
      <c r="M21" s="191"/>
      <c r="N21" s="191"/>
      <c r="O21" s="191"/>
      <c r="P21" s="196"/>
      <c r="Q21" s="52"/>
      <c r="S21" s="52"/>
      <c r="T21" s="99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1"/>
      <c r="C22" s="191"/>
      <c r="D22" s="191"/>
      <c r="E22" s="191"/>
      <c r="F22" s="66" t="s">
        <v>82</v>
      </c>
      <c r="G22" s="67" t="str">
        <f>IF(E19&lt;0.125,"NA",IF(0.125&lt;=E19,(0.8*E19)))</f>
        <v>NA</v>
      </c>
      <c r="H22" s="68"/>
      <c r="I22" s="69"/>
      <c r="J22" s="70"/>
      <c r="K22" s="191"/>
      <c r="L22" s="191"/>
      <c r="M22" s="191"/>
      <c r="N22" s="191"/>
      <c r="O22" s="191"/>
      <c r="P22" s="196"/>
      <c r="Q22" s="52"/>
      <c r="S22" s="52"/>
      <c r="T22" s="99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2"/>
      <c r="C23" s="192"/>
      <c r="D23" s="192"/>
      <c r="E23" s="192"/>
      <c r="F23" s="71" t="s">
        <v>83</v>
      </c>
      <c r="G23" s="72">
        <f>+E19</f>
        <v>0.115</v>
      </c>
      <c r="H23" s="73"/>
      <c r="I23" s="74"/>
      <c r="J23" s="75">
        <v>0.22900000000000001</v>
      </c>
      <c r="K23" s="192"/>
      <c r="L23" s="192"/>
      <c r="M23" s="192"/>
      <c r="N23" s="192"/>
      <c r="O23" s="192"/>
      <c r="P23" s="197"/>
      <c r="Q23" s="52"/>
      <c r="S23" s="52"/>
      <c r="T23" s="99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0">
        <v>2</v>
      </c>
      <c r="C24" s="213">
        <f>+C19+$N$12</f>
        <v>3.84</v>
      </c>
      <c r="D24" s="190">
        <v>0.26500000000000001</v>
      </c>
      <c r="E24" s="190">
        <v>0.28499999999999998</v>
      </c>
      <c r="F24" s="61" t="s">
        <v>79</v>
      </c>
      <c r="G24" s="62">
        <v>0</v>
      </c>
      <c r="H24" s="63"/>
      <c r="I24" s="64"/>
      <c r="J24" s="65">
        <v>0.121</v>
      </c>
      <c r="K24" s="190">
        <f>+IF(E24&lt;=0.12,(J26),(IF(E24&lt;0.16,((J25+2*J26+J27)/4),IF(E24&gt;=0.16,((J24+3*J25+2*J26+3*J27+J28)/10)))))</f>
        <v>0.26590000000000003</v>
      </c>
      <c r="L24" s="190">
        <f>ROUND(+(D19+D24)/2*(C24-C19),3)</f>
        <v>9.1999999999999998E-2</v>
      </c>
      <c r="M24" s="190">
        <f>ROUND(+K24*L24,4)</f>
        <v>2.4500000000000001E-2</v>
      </c>
      <c r="N24" s="193">
        <f>ROUND(+M24/$M$78*100,2)</f>
        <v>14.89</v>
      </c>
      <c r="O24" s="194"/>
      <c r="P24" s="195"/>
      <c r="Q24" s="52"/>
      <c r="S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1"/>
      <c r="C25" s="191"/>
      <c r="D25" s="191"/>
      <c r="E25" s="191"/>
      <c r="F25" s="66" t="s">
        <v>80</v>
      </c>
      <c r="G25" s="67">
        <f t="shared" ref="G25" si="0">IF(E24&lt;0.125,"NA",IF(0.125&lt;=E24,(0.2*E24)))</f>
        <v>5.6999999999999995E-2</v>
      </c>
      <c r="H25" s="68"/>
      <c r="I25" s="69"/>
      <c r="J25" s="70">
        <v>0.22600000000000001</v>
      </c>
      <c r="K25" s="191"/>
      <c r="L25" s="191"/>
      <c r="M25" s="191"/>
      <c r="N25" s="191"/>
      <c r="O25" s="191"/>
      <c r="P25" s="196"/>
      <c r="Q25" s="52"/>
      <c r="S25" s="52"/>
      <c r="T25" s="99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1"/>
      <c r="C26" s="191"/>
      <c r="D26" s="191"/>
      <c r="E26" s="191"/>
      <c r="F26" s="66" t="s">
        <v>81</v>
      </c>
      <c r="G26" s="67">
        <f t="shared" ref="G26" si="1">+E24*0.4</f>
        <v>0.11399999999999999</v>
      </c>
      <c r="H26" s="68"/>
      <c r="I26" s="69"/>
      <c r="J26" s="70">
        <v>0.24099999999999999</v>
      </c>
      <c r="K26" s="191"/>
      <c r="L26" s="191"/>
      <c r="M26" s="191"/>
      <c r="N26" s="191"/>
      <c r="O26" s="191"/>
      <c r="P26" s="196"/>
      <c r="Q26" s="52"/>
      <c r="S26" s="52"/>
      <c r="T26" s="99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1"/>
      <c r="C27" s="191"/>
      <c r="D27" s="191"/>
      <c r="E27" s="191"/>
      <c r="F27" s="66" t="s">
        <v>82</v>
      </c>
      <c r="G27" s="67">
        <f t="shared" ref="G27" si="2">IF(E24&lt;0.125,"NA",IF(0.125&lt;=E24,(0.8*E24)))</f>
        <v>0.22799999999999998</v>
      </c>
      <c r="H27" s="68"/>
      <c r="I27" s="69"/>
      <c r="J27" s="70">
        <v>0.34699999999999998</v>
      </c>
      <c r="K27" s="191"/>
      <c r="L27" s="191"/>
      <c r="M27" s="191"/>
      <c r="N27" s="191"/>
      <c r="O27" s="191"/>
      <c r="P27" s="196"/>
      <c r="Q27" s="52"/>
      <c r="S27" s="52"/>
      <c r="T27" s="99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2"/>
      <c r="C28" s="192"/>
      <c r="D28" s="192"/>
      <c r="E28" s="192"/>
      <c r="F28" s="71" t="s">
        <v>83</v>
      </c>
      <c r="G28" s="72">
        <f t="shared" ref="G28" si="3">+E24</f>
        <v>0.28499999999999998</v>
      </c>
      <c r="H28" s="73"/>
      <c r="I28" s="74"/>
      <c r="J28" s="75">
        <v>0.33700000000000002</v>
      </c>
      <c r="K28" s="192"/>
      <c r="L28" s="192"/>
      <c r="M28" s="192"/>
      <c r="N28" s="192"/>
      <c r="O28" s="192"/>
      <c r="P28" s="197"/>
      <c r="Q28" s="52"/>
      <c r="S28" s="52"/>
      <c r="T28" s="99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0">
        <v>3</v>
      </c>
      <c r="C29" s="213">
        <f>+C24+$N$12</f>
        <v>4.24</v>
      </c>
      <c r="D29" s="190">
        <v>0.41099999999999998</v>
      </c>
      <c r="E29" s="190">
        <v>0.29499999999999998</v>
      </c>
      <c r="F29" s="61" t="s">
        <v>79</v>
      </c>
      <c r="G29" s="62">
        <v>0</v>
      </c>
      <c r="H29" s="63"/>
      <c r="I29" s="64"/>
      <c r="J29" s="65">
        <v>8.1000000000000003E-2</v>
      </c>
      <c r="K29" s="190">
        <f t="shared" ref="K29" si="4">+IF(E29&lt;=0.12,(J31),(IF(E29&lt;0.16,((J30+2*J31+J32)/4),IF(E29&gt;=0.16,((J29+3*J30+2*J31+3*J32+J33)/10)))))</f>
        <v>0.23399999999999999</v>
      </c>
      <c r="L29" s="190">
        <f t="shared" ref="L29" si="5">ROUND(+(D24+D29)/2*(C29-C24),3)</f>
        <v>0.13500000000000001</v>
      </c>
      <c r="M29" s="190">
        <f t="shared" ref="M29" si="6">ROUND(+K29*L29,4)</f>
        <v>3.1600000000000003E-2</v>
      </c>
      <c r="N29" s="193">
        <f t="shared" ref="N29" si="7">ROUND(+M29/$M$78*100,2)</f>
        <v>19.21</v>
      </c>
      <c r="O29" s="194"/>
      <c r="P29" s="195"/>
      <c r="Q29" s="52"/>
      <c r="S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1"/>
      <c r="C30" s="191"/>
      <c r="D30" s="191"/>
      <c r="E30" s="191"/>
      <c r="F30" s="66" t="s">
        <v>80</v>
      </c>
      <c r="G30" s="67">
        <f t="shared" ref="G30" si="8">IF(E29&lt;0.125,"NA",IF(0.125&lt;=E29,(0.2*E29)))</f>
        <v>5.8999999999999997E-2</v>
      </c>
      <c r="H30" s="68"/>
      <c r="I30" s="69"/>
      <c r="J30" s="70">
        <v>0.161</v>
      </c>
      <c r="K30" s="191"/>
      <c r="L30" s="191"/>
      <c r="M30" s="191"/>
      <c r="N30" s="191"/>
      <c r="O30" s="191"/>
      <c r="P30" s="196"/>
      <c r="Q30" s="52"/>
      <c r="S30" s="52"/>
      <c r="T30" s="99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1"/>
      <c r="C31" s="191"/>
      <c r="D31" s="191"/>
      <c r="E31" s="191"/>
      <c r="F31" s="66" t="s">
        <v>81</v>
      </c>
      <c r="G31" s="67">
        <f t="shared" ref="G31" si="9">+E29*0.4</f>
        <v>0.11799999999999999</v>
      </c>
      <c r="H31" s="68"/>
      <c r="I31" s="69"/>
      <c r="J31" s="70">
        <v>0.26500000000000001</v>
      </c>
      <c r="K31" s="191"/>
      <c r="L31" s="191"/>
      <c r="M31" s="191"/>
      <c r="N31" s="191"/>
      <c r="O31" s="191"/>
      <c r="P31" s="196"/>
      <c r="Q31" s="52"/>
      <c r="S31" s="52"/>
      <c r="T31" s="99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1"/>
      <c r="C32" s="191"/>
      <c r="D32" s="191"/>
      <c r="E32" s="191"/>
      <c r="F32" s="66" t="s">
        <v>82</v>
      </c>
      <c r="G32" s="67">
        <f t="shared" ref="G32" si="10">IF(E29&lt;0.125,"NA",IF(0.125&lt;=E29,(0.8*E29)))</f>
        <v>0.23599999999999999</v>
      </c>
      <c r="H32" s="68"/>
      <c r="I32" s="69"/>
      <c r="J32" s="70">
        <v>0.31</v>
      </c>
      <c r="K32" s="191"/>
      <c r="L32" s="191"/>
      <c r="M32" s="191"/>
      <c r="N32" s="191"/>
      <c r="O32" s="191"/>
      <c r="P32" s="196"/>
      <c r="Q32" s="52"/>
      <c r="S32" s="52"/>
      <c r="T32" s="99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2"/>
      <c r="C33" s="192"/>
      <c r="D33" s="192"/>
      <c r="E33" s="192"/>
      <c r="F33" s="71" t="s">
        <v>83</v>
      </c>
      <c r="G33" s="72">
        <f t="shared" ref="G33" si="11">+E29</f>
        <v>0.29499999999999998</v>
      </c>
      <c r="H33" s="73"/>
      <c r="I33" s="74"/>
      <c r="J33" s="75">
        <v>0.316</v>
      </c>
      <c r="K33" s="192"/>
      <c r="L33" s="192"/>
      <c r="M33" s="192"/>
      <c r="N33" s="192"/>
      <c r="O33" s="192"/>
      <c r="P33" s="197"/>
      <c r="Q33" s="52"/>
      <c r="S33" s="52"/>
      <c r="T33" s="99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0">
        <v>4</v>
      </c>
      <c r="C34" s="213">
        <f>+C29+$N$12</f>
        <v>4.6400000000000006</v>
      </c>
      <c r="D34" s="190">
        <v>0.435</v>
      </c>
      <c r="E34" s="190">
        <v>0.4</v>
      </c>
      <c r="F34" s="61" t="s">
        <v>79</v>
      </c>
      <c r="G34" s="62">
        <v>0</v>
      </c>
      <c r="H34" s="63"/>
      <c r="I34" s="64"/>
      <c r="J34" s="65">
        <v>7.0000000000000001E-3</v>
      </c>
      <c r="K34" s="190">
        <f t="shared" ref="K34" si="12">+IF(E34&lt;=0.12,(J36),(IF(E34&lt;0.16,((J35+2*J36+J37)/4),IF(E34&gt;=0.16,((J34+3*J35+2*J36+3*J37+J38)/10)))))</f>
        <v>4.2700000000000002E-2</v>
      </c>
      <c r="L34" s="190">
        <f t="shared" ref="L34" si="13">ROUND(+(D29+D34)/2*(C34-C29),3)</f>
        <v>0.16900000000000001</v>
      </c>
      <c r="M34" s="190">
        <f t="shared" ref="M34" si="14">ROUND(+K34*L34,4)</f>
        <v>7.1999999999999998E-3</v>
      </c>
      <c r="N34" s="193">
        <f t="shared" ref="N34" si="15">ROUND(+M34/$M$78*100,2)</f>
        <v>4.38</v>
      </c>
      <c r="O34" s="194"/>
      <c r="P34" s="195"/>
      <c r="Q34" s="52"/>
      <c r="S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1"/>
      <c r="C35" s="191"/>
      <c r="D35" s="191"/>
      <c r="E35" s="191"/>
      <c r="F35" s="66" t="s">
        <v>80</v>
      </c>
      <c r="G35" s="67">
        <f t="shared" ref="G35" si="16">IF(E34&lt;0.125,"NA",IF(0.125&lt;=E34,(0.2*E34)))</f>
        <v>8.0000000000000016E-2</v>
      </c>
      <c r="H35" s="68"/>
      <c r="I35" s="69"/>
      <c r="J35" s="70">
        <v>3.5000000000000003E-2</v>
      </c>
      <c r="K35" s="191"/>
      <c r="L35" s="191"/>
      <c r="M35" s="191"/>
      <c r="N35" s="191"/>
      <c r="O35" s="191"/>
      <c r="P35" s="196"/>
      <c r="Q35" s="52"/>
      <c r="R35" s="52"/>
      <c r="S35" s="52"/>
      <c r="T35" s="99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1"/>
      <c r="C36" s="191"/>
      <c r="D36" s="191"/>
      <c r="E36" s="191"/>
      <c r="F36" s="66" t="s">
        <v>81</v>
      </c>
      <c r="G36" s="67">
        <f t="shared" ref="G36" si="17">+E34*0.4</f>
        <v>0.16000000000000003</v>
      </c>
      <c r="H36" s="68"/>
      <c r="I36" s="69"/>
      <c r="J36" s="70">
        <v>4.4999999999999998E-2</v>
      </c>
      <c r="K36" s="191"/>
      <c r="L36" s="191"/>
      <c r="M36" s="191"/>
      <c r="N36" s="191"/>
      <c r="O36" s="191"/>
      <c r="P36" s="196"/>
      <c r="Q36" s="52"/>
      <c r="R36" s="52"/>
      <c r="S36" s="52"/>
      <c r="T36" s="99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1"/>
      <c r="C37" s="191"/>
      <c r="D37" s="191"/>
      <c r="E37" s="191"/>
      <c r="F37" s="66" t="s">
        <v>82</v>
      </c>
      <c r="G37" s="67">
        <f t="shared" ref="G37" si="18">IF(E34&lt;0.125,"NA",IF(0.125&lt;=E34,(0.8*E34)))</f>
        <v>0.32000000000000006</v>
      </c>
      <c r="H37" s="68"/>
      <c r="I37" s="69"/>
      <c r="J37" s="70">
        <v>5.8000000000000003E-2</v>
      </c>
      <c r="K37" s="191"/>
      <c r="L37" s="191"/>
      <c r="M37" s="191"/>
      <c r="N37" s="191"/>
      <c r="O37" s="191"/>
      <c r="P37" s="196"/>
      <c r="Q37" s="52"/>
      <c r="R37" s="52"/>
      <c r="S37" s="52"/>
      <c r="T37" s="99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2"/>
      <c r="C38" s="192"/>
      <c r="D38" s="192"/>
      <c r="E38" s="192"/>
      <c r="F38" s="71" t="s">
        <v>83</v>
      </c>
      <c r="G38" s="72">
        <f t="shared" ref="G38" si="19">+E34</f>
        <v>0.4</v>
      </c>
      <c r="H38" s="73"/>
      <c r="I38" s="74"/>
      <c r="J38" s="75">
        <v>5.0999999999999997E-2</v>
      </c>
      <c r="K38" s="192"/>
      <c r="L38" s="192"/>
      <c r="M38" s="192"/>
      <c r="N38" s="192"/>
      <c r="O38" s="192"/>
      <c r="P38" s="197"/>
      <c r="Q38" s="52"/>
      <c r="R38" s="3"/>
      <c r="S38" s="52"/>
      <c r="T38" s="99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0">
        <v>5</v>
      </c>
      <c r="C39" s="213">
        <f>+C34+$N$12</f>
        <v>5.0400000000000009</v>
      </c>
      <c r="D39" s="190">
        <v>0.38500000000000001</v>
      </c>
      <c r="E39" s="190">
        <v>0.45500000000000002</v>
      </c>
      <c r="F39" s="61" t="s">
        <v>79</v>
      </c>
      <c r="G39" s="62">
        <v>0</v>
      </c>
      <c r="H39" s="63"/>
      <c r="I39" s="64"/>
      <c r="J39" s="65"/>
      <c r="K39" s="190"/>
      <c r="L39" s="190"/>
      <c r="M39" s="190"/>
      <c r="N39" s="193"/>
      <c r="O39" s="194"/>
      <c r="P39" s="195"/>
      <c r="Q39" s="52"/>
      <c r="R39" s="3"/>
      <c r="S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1"/>
      <c r="C40" s="191"/>
      <c r="D40" s="191"/>
      <c r="E40" s="191"/>
      <c r="F40" s="66" t="s">
        <v>80</v>
      </c>
      <c r="G40" s="67">
        <f t="shared" ref="G40" si="20">IF(E39&lt;0.125,"NA",IF(0.125&lt;=E39,(0.2*E39)))</f>
        <v>9.1000000000000011E-2</v>
      </c>
      <c r="H40" s="68"/>
      <c r="I40" s="69"/>
      <c r="J40" s="70"/>
      <c r="K40" s="191"/>
      <c r="L40" s="191"/>
      <c r="M40" s="191"/>
      <c r="N40" s="191"/>
      <c r="O40" s="191"/>
      <c r="P40" s="196"/>
      <c r="Q40" s="52"/>
      <c r="R40" s="3"/>
      <c r="S40" s="52"/>
      <c r="T40" s="99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1"/>
      <c r="C41" s="191"/>
      <c r="D41" s="191"/>
      <c r="E41" s="191"/>
      <c r="F41" s="66" t="s">
        <v>81</v>
      </c>
      <c r="G41" s="67">
        <f t="shared" ref="G41" si="21">+E39*0.4</f>
        <v>0.18200000000000002</v>
      </c>
      <c r="H41" s="68"/>
      <c r="I41" s="69"/>
      <c r="J41" s="70"/>
      <c r="K41" s="191"/>
      <c r="L41" s="191"/>
      <c r="M41" s="191"/>
      <c r="N41" s="191"/>
      <c r="O41" s="191"/>
      <c r="P41" s="196"/>
      <c r="Q41" s="52"/>
      <c r="R41" s="3"/>
      <c r="S41" s="52"/>
      <c r="T41" s="99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1"/>
      <c r="C42" s="191"/>
      <c r="D42" s="191"/>
      <c r="E42" s="191"/>
      <c r="F42" s="66" t="s">
        <v>82</v>
      </c>
      <c r="G42" s="67">
        <f t="shared" ref="G42" si="22">IF(E39&lt;0.125,"NA",IF(0.125&lt;=E39,(0.8*E39)))</f>
        <v>0.36400000000000005</v>
      </c>
      <c r="H42" s="68"/>
      <c r="I42" s="69"/>
      <c r="J42" s="70"/>
      <c r="K42" s="191"/>
      <c r="L42" s="191"/>
      <c r="M42" s="191"/>
      <c r="N42" s="191"/>
      <c r="O42" s="191"/>
      <c r="P42" s="196"/>
      <c r="Q42" s="52"/>
      <c r="R42" s="3"/>
      <c r="S42" s="52"/>
      <c r="T42" s="99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2"/>
      <c r="C43" s="192"/>
      <c r="D43" s="192"/>
      <c r="E43" s="192"/>
      <c r="F43" s="71" t="s">
        <v>83</v>
      </c>
      <c r="G43" s="72">
        <f t="shared" ref="G43" si="23">+E39</f>
        <v>0.45500000000000002</v>
      </c>
      <c r="H43" s="73"/>
      <c r="I43" s="74"/>
      <c r="J43" s="75"/>
      <c r="K43" s="192"/>
      <c r="L43" s="192"/>
      <c r="M43" s="192"/>
      <c r="N43" s="192"/>
      <c r="O43" s="192"/>
      <c r="P43" s="197"/>
      <c r="Q43" s="52"/>
      <c r="R43" s="3"/>
      <c r="S43" s="52"/>
      <c r="T43" s="99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0">
        <v>6</v>
      </c>
      <c r="C44" s="213">
        <f>+C39+$N$12</f>
        <v>5.4400000000000013</v>
      </c>
      <c r="D44" s="190">
        <v>0.30499999999999999</v>
      </c>
      <c r="E44" s="190">
        <v>0.35299999999999998</v>
      </c>
      <c r="F44" s="61" t="s">
        <v>79</v>
      </c>
      <c r="G44" s="62">
        <v>0</v>
      </c>
      <c r="H44" s="63"/>
      <c r="I44" s="64"/>
      <c r="J44" s="65">
        <v>4.2000000000000003E-2</v>
      </c>
      <c r="K44" s="190">
        <f>+IF(E44&lt;=0.12,(J46),(IF(E44&lt;0.16,((J45+2*J46+J47)/4),IF(E44&gt;=0.16,((J44+3*J45+2*J46+3*J47+J48)/10)))))</f>
        <v>9.1300000000000006E-2</v>
      </c>
      <c r="L44" s="190">
        <f>ROUND(+(D39+D44)/2*(C44-C39),3)</f>
        <v>0.13800000000000001</v>
      </c>
      <c r="M44" s="190">
        <f>ROUND(+K44*L44,4)</f>
        <v>1.26E-2</v>
      </c>
      <c r="N44" s="193">
        <f>ROUND(+M44/$M$78*100,2)</f>
        <v>7.66</v>
      </c>
      <c r="O44" s="194"/>
      <c r="P44" s="195"/>
      <c r="Q44" s="52"/>
      <c r="R44" s="3"/>
      <c r="S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1"/>
      <c r="C45" s="191"/>
      <c r="D45" s="191"/>
      <c r="E45" s="191"/>
      <c r="F45" s="66" t="s">
        <v>80</v>
      </c>
      <c r="G45" s="67">
        <f t="shared" ref="G45" si="24">IF(E44&lt;0.125,"NA",IF(0.125&lt;=E44,(0.2*E44)))</f>
        <v>7.0599999999999996E-2</v>
      </c>
      <c r="H45" s="68"/>
      <c r="I45" s="69"/>
      <c r="J45" s="70">
        <v>5.0999999999999997E-2</v>
      </c>
      <c r="K45" s="191"/>
      <c r="L45" s="191"/>
      <c r="M45" s="191"/>
      <c r="N45" s="191"/>
      <c r="O45" s="191"/>
      <c r="P45" s="196"/>
      <c r="Q45" s="52"/>
      <c r="R45" s="3"/>
      <c r="S45" s="52"/>
      <c r="T45" s="99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1"/>
      <c r="C46" s="191"/>
      <c r="D46" s="191"/>
      <c r="E46" s="191"/>
      <c r="F46" s="66" t="s">
        <v>81</v>
      </c>
      <c r="G46" s="67">
        <f t="shared" ref="G46" si="25">+E44*0.4</f>
        <v>0.14119999999999999</v>
      </c>
      <c r="H46" s="68"/>
      <c r="I46" s="69"/>
      <c r="J46" s="70">
        <v>9.8000000000000004E-2</v>
      </c>
      <c r="K46" s="191"/>
      <c r="L46" s="191"/>
      <c r="M46" s="191"/>
      <c r="N46" s="191"/>
      <c r="O46" s="191"/>
      <c r="P46" s="196"/>
      <c r="Q46" s="52"/>
      <c r="R46" s="84"/>
      <c r="S46" s="52"/>
      <c r="T46" s="99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1"/>
      <c r="C47" s="191"/>
      <c r="D47" s="191"/>
      <c r="E47" s="191"/>
      <c r="F47" s="66" t="s">
        <v>82</v>
      </c>
      <c r="G47" s="67">
        <f t="shared" ref="G47" si="26">IF(E44&lt;0.125,"NA",IF(0.125&lt;=E44,(0.8*E44)))</f>
        <v>0.28239999999999998</v>
      </c>
      <c r="H47" s="68"/>
      <c r="I47" s="69"/>
      <c r="J47" s="70">
        <v>0.13</v>
      </c>
      <c r="K47" s="191"/>
      <c r="L47" s="191"/>
      <c r="M47" s="191"/>
      <c r="N47" s="191"/>
      <c r="O47" s="191"/>
      <c r="P47" s="196"/>
      <c r="Q47" s="52"/>
      <c r="R47" s="84"/>
      <c r="S47" s="52"/>
      <c r="T47" s="99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2"/>
      <c r="C48" s="192"/>
      <c r="D48" s="192"/>
      <c r="E48" s="192"/>
      <c r="F48" s="71" t="s">
        <v>83</v>
      </c>
      <c r="G48" s="72">
        <f t="shared" ref="G48" si="27">+E44</f>
        <v>0.35299999999999998</v>
      </c>
      <c r="H48" s="73"/>
      <c r="I48" s="74"/>
      <c r="J48" s="75">
        <v>0.13200000000000001</v>
      </c>
      <c r="K48" s="192"/>
      <c r="L48" s="192"/>
      <c r="M48" s="192"/>
      <c r="N48" s="192"/>
      <c r="O48" s="192"/>
      <c r="P48" s="197"/>
      <c r="Q48" s="52"/>
      <c r="R48" s="84"/>
      <c r="S48" s="52"/>
      <c r="T48" s="99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0">
        <v>7</v>
      </c>
      <c r="C49" s="213">
        <f>+C44+$N$12</f>
        <v>5.8400000000000016</v>
      </c>
      <c r="D49" s="190">
        <v>0.32500000000000001</v>
      </c>
      <c r="E49" s="190">
        <v>0.3</v>
      </c>
      <c r="F49" s="61" t="s">
        <v>79</v>
      </c>
      <c r="G49" s="62">
        <v>0</v>
      </c>
      <c r="H49" s="63"/>
      <c r="I49" s="64"/>
      <c r="J49" s="65">
        <v>4.4999999999999998E-2</v>
      </c>
      <c r="K49" s="190">
        <f t="shared" ref="K49" si="28">+IF(E49&lt;=0.12,(J51),(IF(E49&lt;0.16,((J50+2*J51+J52)/4),IF(E49&gt;=0.16,((J49+3*J50+2*J51+3*J52+J53)/10)))))</f>
        <v>0.48830000000000007</v>
      </c>
      <c r="L49" s="190">
        <f>ROUND(+(D44+D49)/2*(C49-C44),3)</f>
        <v>0.126</v>
      </c>
      <c r="M49" s="190">
        <f t="shared" ref="M49" si="29">ROUND(+K49*L49,4)</f>
        <v>6.1499999999999999E-2</v>
      </c>
      <c r="N49" s="193">
        <f t="shared" ref="N49" si="30">ROUND(+M49/$M$78*100,2)</f>
        <v>37.39</v>
      </c>
      <c r="O49" s="194"/>
      <c r="P49" s="195"/>
      <c r="Q49" s="52"/>
      <c r="R49" s="84"/>
      <c r="S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1"/>
      <c r="C50" s="191"/>
      <c r="D50" s="191"/>
      <c r="E50" s="191"/>
      <c r="F50" s="66" t="s">
        <v>80</v>
      </c>
      <c r="G50" s="67">
        <f t="shared" ref="G50" si="31">IF(E49&lt;0.125,"NA",IF(0.125&lt;=E49,(0.2*E49)))</f>
        <v>0.06</v>
      </c>
      <c r="H50" s="68"/>
      <c r="I50" s="69"/>
      <c r="J50" s="70">
        <v>5.3999999999999999E-2</v>
      </c>
      <c r="K50" s="191"/>
      <c r="L50" s="191"/>
      <c r="M50" s="191"/>
      <c r="N50" s="191"/>
      <c r="O50" s="191"/>
      <c r="P50" s="196"/>
      <c r="Q50" s="52"/>
      <c r="R50" s="84"/>
      <c r="S50" s="52"/>
      <c r="T50" s="99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1"/>
      <c r="C51" s="191"/>
      <c r="D51" s="191"/>
      <c r="E51" s="191"/>
      <c r="F51" s="66" t="s">
        <v>81</v>
      </c>
      <c r="G51" s="67">
        <f t="shared" ref="G51" si="32">+E49*0.4</f>
        <v>0.12</v>
      </c>
      <c r="H51" s="68"/>
      <c r="I51" s="69"/>
      <c r="J51" s="70">
        <v>9.8000000000000004E-2</v>
      </c>
      <c r="K51" s="191"/>
      <c r="L51" s="191"/>
      <c r="M51" s="191"/>
      <c r="N51" s="191"/>
      <c r="O51" s="191"/>
      <c r="P51" s="196"/>
      <c r="Q51" s="52"/>
      <c r="R51" s="84"/>
      <c r="S51" s="52"/>
      <c r="T51" s="99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1"/>
      <c r="C52" s="191"/>
      <c r="D52" s="191"/>
      <c r="E52" s="191"/>
      <c r="F52" s="66" t="s">
        <v>82</v>
      </c>
      <c r="G52" s="67">
        <f t="shared" ref="G52" si="33">IF(E49&lt;0.125,"NA",IF(0.125&lt;=E49,(0.8*E49)))</f>
        <v>0.24</v>
      </c>
      <c r="H52" s="68"/>
      <c r="I52" s="69"/>
      <c r="J52" s="70">
        <v>1.1240000000000001</v>
      </c>
      <c r="K52" s="191"/>
      <c r="L52" s="191"/>
      <c r="M52" s="191"/>
      <c r="N52" s="191"/>
      <c r="O52" s="191"/>
      <c r="P52" s="196"/>
      <c r="Q52" s="52"/>
      <c r="R52" s="84"/>
      <c r="S52" s="52"/>
      <c r="T52" s="99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2"/>
      <c r="C53" s="192"/>
      <c r="D53" s="192"/>
      <c r="E53" s="192"/>
      <c r="F53" s="71" t="s">
        <v>83</v>
      </c>
      <c r="G53" s="72">
        <f t="shared" ref="G53" si="34">+E49</f>
        <v>0.3</v>
      </c>
      <c r="H53" s="73"/>
      <c r="I53" s="74"/>
      <c r="J53" s="75">
        <v>1.1080000000000001</v>
      </c>
      <c r="K53" s="192"/>
      <c r="L53" s="192"/>
      <c r="M53" s="192"/>
      <c r="N53" s="192"/>
      <c r="O53" s="192"/>
      <c r="P53" s="197"/>
      <c r="Q53" s="52"/>
      <c r="R53" s="84"/>
      <c r="S53" s="52"/>
      <c r="T53" s="99"/>
      <c r="U53" s="52"/>
      <c r="V53" s="52"/>
      <c r="W53" s="52"/>
      <c r="X53" s="52"/>
      <c r="Y53" s="52"/>
      <c r="Z53" s="52"/>
    </row>
    <row r="54" spans="1:26" s="60" customFormat="1" ht="13.5" customHeight="1" x14ac:dyDescent="0.25">
      <c r="A54" s="52"/>
      <c r="B54" s="210">
        <v>8</v>
      </c>
      <c r="C54" s="213">
        <f>+C49+$N$12</f>
        <v>6.240000000000002</v>
      </c>
      <c r="D54" s="190">
        <v>0.28000000000000003</v>
      </c>
      <c r="E54" s="190">
        <v>0.35</v>
      </c>
      <c r="F54" s="61" t="s">
        <v>79</v>
      </c>
      <c r="G54" s="62">
        <v>0</v>
      </c>
      <c r="H54" s="63"/>
      <c r="I54" s="64"/>
      <c r="J54" s="65">
        <v>8.6999999999999994E-2</v>
      </c>
      <c r="K54" s="190">
        <f t="shared" ref="K54" si="35">+IF(E54&lt;=0.12,(J56),(IF(E54&lt;0.16,((J55+2*J56+J57)/4),IF(E54&gt;=0.16,((J54+3*J55+2*J56+3*J57+J58)/10)))))</f>
        <v>0.10219999999999999</v>
      </c>
      <c r="L54" s="190">
        <f>ROUND(+(D49+D54)/2*(C54-C49),3)</f>
        <v>0.121</v>
      </c>
      <c r="M54" s="190">
        <f t="shared" ref="M54" si="36">ROUND(+K54*L54,4)</f>
        <v>1.24E-2</v>
      </c>
      <c r="N54" s="193">
        <f t="shared" ref="N54" si="37">ROUND(+M54/$M$78*100,2)</f>
        <v>7.54</v>
      </c>
      <c r="O54" s="194"/>
      <c r="P54" s="195"/>
      <c r="Q54" s="52"/>
      <c r="R54" s="84"/>
      <c r="S54" s="52"/>
      <c r="U54" s="52"/>
      <c r="V54" s="52"/>
      <c r="W54" s="52"/>
      <c r="X54" s="52"/>
      <c r="Y54" s="52"/>
      <c r="Z54" s="52"/>
    </row>
    <row r="55" spans="1:26" s="60" customFormat="1" ht="13.5" customHeight="1" x14ac:dyDescent="0.25">
      <c r="A55" s="52"/>
      <c r="B55" s="211"/>
      <c r="C55" s="191"/>
      <c r="D55" s="191"/>
      <c r="E55" s="191"/>
      <c r="F55" s="66" t="s">
        <v>80</v>
      </c>
      <c r="G55" s="67">
        <f t="shared" ref="G55" si="38">IF(E54&lt;0.125,"NA",IF(0.125&lt;=E54,(0.2*E54)))</f>
        <v>6.9999999999999993E-2</v>
      </c>
      <c r="H55" s="68"/>
      <c r="I55" s="69"/>
      <c r="J55" s="70">
        <v>9.7000000000000003E-2</v>
      </c>
      <c r="K55" s="191"/>
      <c r="L55" s="191"/>
      <c r="M55" s="191"/>
      <c r="N55" s="191"/>
      <c r="O55" s="191"/>
      <c r="P55" s="196"/>
      <c r="Q55" s="52"/>
      <c r="R55" s="84"/>
      <c r="S55" s="52"/>
      <c r="T55" s="99"/>
      <c r="U55" s="52"/>
      <c r="V55" s="52"/>
      <c r="W55" s="52"/>
      <c r="X55" s="52"/>
      <c r="Y55" s="52"/>
      <c r="Z55" s="52"/>
    </row>
    <row r="56" spans="1:26" s="60" customFormat="1" ht="13.5" customHeight="1" x14ac:dyDescent="0.25">
      <c r="A56" s="52"/>
      <c r="B56" s="211"/>
      <c r="C56" s="191"/>
      <c r="D56" s="191"/>
      <c r="E56" s="191"/>
      <c r="F56" s="66" t="s">
        <v>81</v>
      </c>
      <c r="G56" s="67">
        <f t="shared" ref="G56" si="39">+E54*0.4</f>
        <v>0.13999999999999999</v>
      </c>
      <c r="H56" s="68"/>
      <c r="I56" s="69"/>
      <c r="J56" s="70">
        <v>0.10299999999999999</v>
      </c>
      <c r="K56" s="191"/>
      <c r="L56" s="191"/>
      <c r="M56" s="191"/>
      <c r="N56" s="191"/>
      <c r="O56" s="191"/>
      <c r="P56" s="196"/>
      <c r="Q56" s="52"/>
      <c r="R56" s="84"/>
      <c r="S56" s="52"/>
      <c r="T56" s="99"/>
      <c r="U56" s="52"/>
      <c r="V56" s="52"/>
      <c r="W56" s="52"/>
      <c r="X56" s="52"/>
      <c r="Y56" s="52"/>
      <c r="Z56" s="52"/>
    </row>
    <row r="57" spans="1:26" s="60" customFormat="1" ht="13.5" customHeight="1" x14ac:dyDescent="0.25">
      <c r="A57" s="52"/>
      <c r="B57" s="211"/>
      <c r="C57" s="191"/>
      <c r="D57" s="191"/>
      <c r="E57" s="191"/>
      <c r="F57" s="66" t="s">
        <v>82</v>
      </c>
      <c r="G57" s="67">
        <f t="shared" ref="G57" si="40">IF(E54&lt;0.125,"NA",IF(0.125&lt;=E54,(0.8*E54)))</f>
        <v>0.27999999999999997</v>
      </c>
      <c r="H57" s="68"/>
      <c r="I57" s="69"/>
      <c r="J57" s="70">
        <v>0.10199999999999999</v>
      </c>
      <c r="K57" s="191"/>
      <c r="L57" s="191"/>
      <c r="M57" s="191"/>
      <c r="N57" s="191"/>
      <c r="O57" s="191"/>
      <c r="P57" s="196"/>
      <c r="Q57" s="52"/>
      <c r="R57" s="3"/>
      <c r="S57" s="52"/>
      <c r="T57" s="99"/>
      <c r="U57" s="52"/>
      <c r="V57" s="52"/>
      <c r="W57" s="52"/>
      <c r="X57" s="52"/>
      <c r="Y57" s="52"/>
      <c r="Z57" s="52"/>
    </row>
    <row r="58" spans="1:26" s="60" customFormat="1" ht="13.5" customHeight="1" thickBot="1" x14ac:dyDescent="0.3">
      <c r="A58" s="52"/>
      <c r="B58" s="212"/>
      <c r="C58" s="192"/>
      <c r="D58" s="192"/>
      <c r="E58" s="192"/>
      <c r="F58" s="71" t="s">
        <v>83</v>
      </c>
      <c r="G58" s="72">
        <f t="shared" ref="G58" si="41">+E54</f>
        <v>0.35</v>
      </c>
      <c r="H58" s="73"/>
      <c r="I58" s="74"/>
      <c r="J58" s="75">
        <v>0.13200000000000001</v>
      </c>
      <c r="K58" s="192"/>
      <c r="L58" s="192"/>
      <c r="M58" s="192"/>
      <c r="N58" s="192"/>
      <c r="O58" s="192"/>
      <c r="P58" s="197"/>
      <c r="Q58" s="52"/>
      <c r="R58" s="3"/>
      <c r="S58" s="52"/>
      <c r="T58" s="99"/>
      <c r="U58" s="52"/>
      <c r="V58" s="52"/>
      <c r="W58" s="52"/>
      <c r="X58" s="52"/>
      <c r="Y58" s="52"/>
      <c r="Z58" s="52"/>
    </row>
    <row r="59" spans="1:26" s="3" customFormat="1" ht="14.1" customHeight="1" x14ac:dyDescent="0.25">
      <c r="B59" s="198" t="s">
        <v>29</v>
      </c>
      <c r="C59" s="201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3"/>
      <c r="R59"/>
    </row>
    <row r="60" spans="1:26" s="3" customFormat="1" ht="14.1" customHeight="1" x14ac:dyDescent="0.25">
      <c r="B60" s="199"/>
      <c r="C60" s="204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6"/>
      <c r="R60"/>
    </row>
    <row r="61" spans="1:26" s="3" customFormat="1" ht="14.1" customHeight="1" x14ac:dyDescent="0.25">
      <c r="B61" s="199"/>
      <c r="C61" s="204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6"/>
      <c r="R61"/>
    </row>
    <row r="62" spans="1:26" s="3" customFormat="1" ht="14.1" customHeight="1" x14ac:dyDescent="0.25">
      <c r="B62" s="199"/>
      <c r="C62" s="204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6"/>
      <c r="R62"/>
    </row>
    <row r="63" spans="1:26" s="3" customFormat="1" ht="14.1" customHeight="1" x14ac:dyDescent="0.25">
      <c r="B63" s="199"/>
      <c r="C63" s="204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6"/>
      <c r="R63"/>
    </row>
    <row r="64" spans="1:26" s="3" customFormat="1" ht="14.1" customHeight="1" thickBot="1" x14ac:dyDescent="0.3">
      <c r="B64" s="200"/>
      <c r="C64" s="207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9"/>
      <c r="R64"/>
    </row>
    <row r="65" spans="1:26" s="3" customFormat="1" ht="28.5" customHeight="1" thickBot="1" x14ac:dyDescent="0.3">
      <c r="A65" s="76"/>
      <c r="B65" s="77" t="s">
        <v>84</v>
      </c>
      <c r="C65" s="177" t="s">
        <v>85</v>
      </c>
      <c r="D65" s="177"/>
      <c r="E65" s="177"/>
      <c r="F65" s="177"/>
      <c r="G65" s="177"/>
      <c r="H65" s="178"/>
      <c r="I65" s="179"/>
      <c r="J65" s="77" t="s">
        <v>86</v>
      </c>
      <c r="K65" s="177" t="s">
        <v>87</v>
      </c>
      <c r="L65" s="177"/>
      <c r="M65" s="177"/>
      <c r="N65" s="177"/>
      <c r="O65" s="177"/>
      <c r="P65" s="178"/>
      <c r="R65"/>
    </row>
    <row r="66" spans="1:26" s="3" customFormat="1" ht="28.5" customHeight="1" thickBot="1" x14ac:dyDescent="0.3">
      <c r="B66" s="78" t="s">
        <v>88</v>
      </c>
      <c r="C66" s="181" t="s">
        <v>89</v>
      </c>
      <c r="D66" s="181"/>
      <c r="E66" s="181"/>
      <c r="F66" s="181"/>
      <c r="G66" s="181"/>
      <c r="H66" s="182"/>
      <c r="I66" s="180"/>
      <c r="J66" s="78" t="s">
        <v>90</v>
      </c>
      <c r="K66" s="181" t="s">
        <v>91</v>
      </c>
      <c r="L66" s="181"/>
      <c r="M66" s="181"/>
      <c r="N66" s="181"/>
      <c r="O66" s="181"/>
      <c r="P66" s="182"/>
      <c r="R66"/>
    </row>
    <row r="67" spans="1:26" s="19" customFormat="1" ht="13.5" customHeight="1" x14ac:dyDescent="0.25">
      <c r="A67" s="79"/>
      <c r="B67" s="183">
        <v>5</v>
      </c>
      <c r="C67" s="186">
        <v>3.8</v>
      </c>
      <c r="D67" s="188">
        <v>0.435</v>
      </c>
      <c r="E67" s="188">
        <v>0.45500000000000002</v>
      </c>
      <c r="F67" s="80" t="s">
        <v>79</v>
      </c>
      <c r="G67" s="80">
        <v>0.01</v>
      </c>
      <c r="H67" s="81"/>
      <c r="I67" s="82"/>
      <c r="J67" s="83">
        <v>8.9999999999999993E-3</v>
      </c>
      <c r="K67" s="189">
        <f>+AVERAGE(J67:J77)</f>
        <v>3.2818181818181823E-2</v>
      </c>
      <c r="L67" s="168">
        <f>ROUND(+(D67+D72)/2*(C72-C67),3)</f>
        <v>0.16400000000000001</v>
      </c>
      <c r="M67" s="171">
        <f>ROUND(+K67*L67,4)</f>
        <v>5.4000000000000003E-3</v>
      </c>
      <c r="N67" s="168">
        <f>ROUND(+M67/$M$78*100,2)</f>
        <v>3.28</v>
      </c>
      <c r="O67" s="168"/>
      <c r="P67" s="172"/>
      <c r="Q67" s="84"/>
      <c r="R67"/>
      <c r="S67" s="84"/>
      <c r="T67" s="84"/>
      <c r="U67" s="84"/>
      <c r="V67" s="84"/>
      <c r="W67" s="84"/>
      <c r="X67" s="84"/>
      <c r="Y67" s="84"/>
      <c r="Z67" s="84"/>
    </row>
    <row r="68" spans="1:26" s="19" customFormat="1" ht="13.5" customHeight="1" x14ac:dyDescent="0.25">
      <c r="A68" s="79"/>
      <c r="B68" s="184"/>
      <c r="C68" s="169"/>
      <c r="D68" s="169"/>
      <c r="E68" s="169"/>
      <c r="F68" s="85" t="s">
        <v>92</v>
      </c>
      <c r="G68" s="86">
        <f>+E67*0.1</f>
        <v>4.5500000000000006E-2</v>
      </c>
      <c r="H68" s="87"/>
      <c r="I68" s="88"/>
      <c r="J68" s="89">
        <v>1.9E-2</v>
      </c>
      <c r="K68" s="169"/>
      <c r="L68" s="169"/>
      <c r="M68" s="169"/>
      <c r="N68" s="169"/>
      <c r="O68" s="169"/>
      <c r="P68" s="173"/>
      <c r="Q68" s="84"/>
      <c r="R68"/>
      <c r="S68" s="84"/>
      <c r="T68" s="84"/>
      <c r="U68" s="84"/>
      <c r="V68" s="84"/>
      <c r="W68" s="84"/>
      <c r="X68" s="84"/>
      <c r="Y68" s="84"/>
      <c r="Z68" s="84"/>
    </row>
    <row r="69" spans="1:26" s="19" customFormat="1" ht="13.5" customHeight="1" x14ac:dyDescent="0.25">
      <c r="A69" s="79"/>
      <c r="B69" s="184"/>
      <c r="C69" s="169"/>
      <c r="D69" s="169"/>
      <c r="E69" s="169"/>
      <c r="F69" s="85" t="s">
        <v>93</v>
      </c>
      <c r="G69" s="86">
        <f>+E67*0.2</f>
        <v>9.1000000000000011E-2</v>
      </c>
      <c r="H69" s="87"/>
      <c r="I69" s="88"/>
      <c r="J69" s="89">
        <v>1.4999999999999999E-2</v>
      </c>
      <c r="K69" s="169"/>
      <c r="L69" s="169"/>
      <c r="M69" s="169"/>
      <c r="N69" s="169"/>
      <c r="O69" s="169"/>
      <c r="P69" s="173"/>
      <c r="Q69" s="84"/>
      <c r="R69"/>
      <c r="S69" s="84"/>
      <c r="T69" s="84"/>
      <c r="U69" s="84"/>
      <c r="V69" s="84"/>
      <c r="W69" s="84"/>
      <c r="X69" s="84"/>
      <c r="Y69" s="84"/>
      <c r="Z69" s="84"/>
    </row>
    <row r="70" spans="1:26" s="19" customFormat="1" ht="13.5" customHeight="1" x14ac:dyDescent="0.25">
      <c r="A70" s="79"/>
      <c r="B70" s="184"/>
      <c r="C70" s="169"/>
      <c r="D70" s="169"/>
      <c r="E70" s="169"/>
      <c r="F70" s="85" t="s">
        <v>94</v>
      </c>
      <c r="G70" s="86">
        <f>+E67*0.3</f>
        <v>0.13650000000000001</v>
      </c>
      <c r="H70" s="87"/>
      <c r="I70" s="88"/>
      <c r="J70" s="89">
        <v>2.5999999999999999E-2</v>
      </c>
      <c r="K70" s="169"/>
      <c r="L70" s="169"/>
      <c r="M70" s="169"/>
      <c r="N70" s="169"/>
      <c r="O70" s="169"/>
      <c r="P70" s="173"/>
      <c r="Q70" s="84"/>
      <c r="R70"/>
      <c r="S70" s="84"/>
      <c r="T70" s="84"/>
      <c r="U70" s="84"/>
      <c r="V70" s="84"/>
      <c r="W70" s="84"/>
      <c r="X70" s="84"/>
      <c r="Y70" s="84"/>
      <c r="Z70" s="84"/>
    </row>
    <row r="71" spans="1:26" s="19" customFormat="1" ht="13.5" customHeight="1" x14ac:dyDescent="0.25">
      <c r="A71" s="79"/>
      <c r="B71" s="184"/>
      <c r="C71" s="187"/>
      <c r="D71" s="187"/>
      <c r="E71" s="169"/>
      <c r="F71" s="85" t="s">
        <v>95</v>
      </c>
      <c r="G71" s="86">
        <f>+E67*0.4</f>
        <v>0.18200000000000002</v>
      </c>
      <c r="H71" s="87"/>
      <c r="I71" s="88"/>
      <c r="J71" s="89">
        <v>3.1E-2</v>
      </c>
      <c r="K71" s="169"/>
      <c r="L71" s="169"/>
      <c r="M71" s="169"/>
      <c r="N71" s="169"/>
      <c r="O71" s="169"/>
      <c r="P71" s="173"/>
      <c r="Q71" s="84"/>
      <c r="R71" s="9"/>
      <c r="S71" s="84"/>
      <c r="T71" s="84"/>
      <c r="U71" s="84"/>
      <c r="V71" s="84"/>
      <c r="W71" s="84"/>
      <c r="X71" s="84"/>
      <c r="Y71" s="84"/>
      <c r="Z71" s="84"/>
    </row>
    <row r="72" spans="1:26" s="19" customFormat="1" ht="13.5" customHeight="1" x14ac:dyDescent="0.25">
      <c r="A72" s="79"/>
      <c r="B72" s="184"/>
      <c r="C72" s="175">
        <v>4.2</v>
      </c>
      <c r="D72" s="176">
        <v>0.38500000000000001</v>
      </c>
      <c r="E72" s="169"/>
      <c r="F72" s="85" t="s">
        <v>30</v>
      </c>
      <c r="G72" s="86">
        <f>+E67*0.5</f>
        <v>0.22750000000000001</v>
      </c>
      <c r="H72" s="87"/>
      <c r="I72" s="88"/>
      <c r="J72" s="89">
        <v>3.2000000000000001E-2</v>
      </c>
      <c r="K72" s="169"/>
      <c r="L72" s="169"/>
      <c r="M72" s="169"/>
      <c r="N72" s="169"/>
      <c r="O72" s="169"/>
      <c r="P72" s="173"/>
      <c r="Q72" s="84"/>
      <c r="R72" s="3"/>
      <c r="S72" s="84"/>
      <c r="T72" s="84"/>
      <c r="U72" s="84"/>
      <c r="V72" s="84"/>
      <c r="W72" s="84"/>
      <c r="X72" s="84"/>
      <c r="Y72" s="84"/>
      <c r="Z72" s="84"/>
    </row>
    <row r="73" spans="1:26" s="19" customFormat="1" ht="13.5" customHeight="1" x14ac:dyDescent="0.25">
      <c r="A73" s="79"/>
      <c r="B73" s="184"/>
      <c r="C73" s="169"/>
      <c r="D73" s="169"/>
      <c r="E73" s="169"/>
      <c r="F73" s="85" t="s">
        <v>96</v>
      </c>
      <c r="G73" s="86">
        <f>+E67*0.6</f>
        <v>0.27300000000000002</v>
      </c>
      <c r="H73" s="87"/>
      <c r="I73" s="88"/>
      <c r="J73" s="89">
        <v>3.4000000000000002E-2</v>
      </c>
      <c r="K73" s="169"/>
      <c r="L73" s="169"/>
      <c r="M73" s="169"/>
      <c r="N73" s="169"/>
      <c r="O73" s="169"/>
      <c r="P73" s="173"/>
      <c r="Q73" s="84"/>
      <c r="R73"/>
      <c r="S73" s="84"/>
      <c r="T73" s="84"/>
      <c r="U73" s="84"/>
      <c r="V73" s="84"/>
      <c r="W73" s="84"/>
      <c r="X73" s="84"/>
      <c r="Y73" s="84"/>
      <c r="Z73" s="84"/>
    </row>
    <row r="74" spans="1:26" s="19" customFormat="1" ht="13.5" customHeight="1" x14ac:dyDescent="0.25">
      <c r="A74" s="79"/>
      <c r="B74" s="184"/>
      <c r="C74" s="169"/>
      <c r="D74" s="169"/>
      <c r="E74" s="169"/>
      <c r="F74" s="85" t="s">
        <v>97</v>
      </c>
      <c r="G74" s="86">
        <f>+E67*0.7</f>
        <v>0.31850000000000001</v>
      </c>
      <c r="H74" s="87"/>
      <c r="I74" s="88"/>
      <c r="J74" s="89">
        <v>3.5999999999999997E-2</v>
      </c>
      <c r="K74" s="169"/>
      <c r="L74" s="169"/>
      <c r="M74" s="169"/>
      <c r="N74" s="169"/>
      <c r="O74" s="169"/>
      <c r="P74" s="173"/>
      <c r="Q74" s="84"/>
      <c r="R74"/>
      <c r="S74" s="84"/>
      <c r="T74" s="84"/>
      <c r="U74" s="84"/>
      <c r="V74" s="84"/>
      <c r="W74" s="84"/>
      <c r="X74" s="84"/>
      <c r="Y74" s="84"/>
      <c r="Z74" s="84"/>
    </row>
    <row r="75" spans="1:26" s="19" customFormat="1" ht="13.5" customHeight="1" x14ac:dyDescent="0.25">
      <c r="A75" s="79"/>
      <c r="B75" s="184"/>
      <c r="C75" s="169"/>
      <c r="D75" s="169"/>
      <c r="E75" s="169"/>
      <c r="F75" s="85" t="s">
        <v>98</v>
      </c>
      <c r="G75" s="86">
        <f>+E67*0.8</f>
        <v>0.36400000000000005</v>
      </c>
      <c r="H75" s="87"/>
      <c r="I75" s="88"/>
      <c r="J75" s="89">
        <v>4.1000000000000002E-2</v>
      </c>
      <c r="K75" s="169"/>
      <c r="L75" s="169"/>
      <c r="M75" s="169"/>
      <c r="N75" s="169"/>
      <c r="O75" s="169"/>
      <c r="P75" s="173"/>
      <c r="Q75" s="84"/>
      <c r="R75"/>
      <c r="S75" s="84"/>
      <c r="T75" s="84"/>
      <c r="U75" s="84"/>
      <c r="V75" s="84"/>
      <c r="W75" s="84"/>
      <c r="X75" s="84"/>
      <c r="Y75" s="84"/>
      <c r="Z75" s="84"/>
    </row>
    <row r="76" spans="1:26" s="19" customFormat="1" ht="13.5" customHeight="1" x14ac:dyDescent="0.25">
      <c r="A76" s="79"/>
      <c r="B76" s="184"/>
      <c r="C76" s="169"/>
      <c r="D76" s="169"/>
      <c r="E76" s="169"/>
      <c r="F76" s="85" t="s">
        <v>99</v>
      </c>
      <c r="G76" s="86">
        <f>+E67*0.9</f>
        <v>0.40950000000000003</v>
      </c>
      <c r="H76" s="87"/>
      <c r="I76" s="88"/>
      <c r="J76" s="89">
        <v>0.06</v>
      </c>
      <c r="K76" s="169"/>
      <c r="L76" s="169"/>
      <c r="M76" s="169"/>
      <c r="N76" s="169"/>
      <c r="O76" s="169"/>
      <c r="P76" s="173"/>
      <c r="Q76" s="84"/>
      <c r="R76"/>
      <c r="S76" s="84"/>
      <c r="T76" s="84"/>
      <c r="U76" s="84"/>
      <c r="V76" s="84"/>
      <c r="W76" s="84"/>
      <c r="X76" s="84"/>
      <c r="Y76" s="84"/>
      <c r="Z76" s="84"/>
    </row>
    <row r="77" spans="1:26" s="19" customFormat="1" ht="15.75" thickBot="1" x14ac:dyDescent="0.3">
      <c r="A77" s="79"/>
      <c r="B77" s="185"/>
      <c r="C77" s="170"/>
      <c r="D77" s="170"/>
      <c r="E77" s="170"/>
      <c r="F77" s="90" t="s">
        <v>31</v>
      </c>
      <c r="G77" s="90">
        <f>+E67</f>
        <v>0.45500000000000002</v>
      </c>
      <c r="H77" s="91"/>
      <c r="I77" s="92"/>
      <c r="J77" s="93">
        <v>5.8000000000000003E-2</v>
      </c>
      <c r="K77" s="170"/>
      <c r="L77" s="170"/>
      <c r="M77" s="170"/>
      <c r="N77" s="170"/>
      <c r="O77" s="170"/>
      <c r="P77" s="174"/>
      <c r="Q77" s="84"/>
      <c r="R77"/>
      <c r="S77" s="84"/>
      <c r="T77" s="84"/>
      <c r="U77" s="84"/>
      <c r="V77" s="84"/>
      <c r="W77" s="84"/>
      <c r="X77" s="84"/>
      <c r="Y77" s="84"/>
      <c r="Z77" s="84"/>
    </row>
    <row r="78" spans="1:26" s="3" customFormat="1" x14ac:dyDescent="0.25">
      <c r="A78" s="11"/>
      <c r="B78" s="156" t="s">
        <v>32</v>
      </c>
      <c r="C78" s="156"/>
      <c r="D78" s="156"/>
      <c r="E78" s="156"/>
      <c r="F78" s="156"/>
      <c r="G78" s="156"/>
      <c r="H78" s="156"/>
      <c r="I78" s="156"/>
      <c r="J78" s="156"/>
      <c r="K78" s="12">
        <f>ROUND(+M78/L78,3)</f>
        <v>0.16700000000000001</v>
      </c>
      <c r="L78" s="16">
        <f>SUM(L19:L77)</f>
        <v>0.9840000000000001</v>
      </c>
      <c r="M78" s="15">
        <f>SUM(M19:M77)</f>
        <v>0.16449999999999998</v>
      </c>
      <c r="N78" s="13">
        <f>ROUND(SUM(N19:N77),0)</f>
        <v>100</v>
      </c>
      <c r="O78" s="158" t="s">
        <v>33</v>
      </c>
      <c r="P78" s="160"/>
      <c r="R78"/>
    </row>
    <row r="79" spans="1:26" s="3" customFormat="1" ht="15" customHeight="1" thickBot="1" x14ac:dyDescent="0.3">
      <c r="A79" s="11"/>
      <c r="B79" s="157"/>
      <c r="C79" s="157"/>
      <c r="D79" s="157"/>
      <c r="E79" s="157"/>
      <c r="F79" s="157"/>
      <c r="G79" s="157"/>
      <c r="H79" s="157"/>
      <c r="I79" s="157"/>
      <c r="J79" s="157"/>
      <c r="K79" s="14" t="s">
        <v>34</v>
      </c>
      <c r="L79" s="14" t="s">
        <v>50</v>
      </c>
      <c r="M79" s="14" t="s">
        <v>51</v>
      </c>
      <c r="N79" s="14" t="s">
        <v>35</v>
      </c>
      <c r="O79" s="159"/>
      <c r="P79" s="161"/>
      <c r="R79"/>
    </row>
    <row r="80" spans="1:26" ht="15" customHeight="1" thickBot="1" x14ac:dyDescent="0.3">
      <c r="A80" s="5"/>
      <c r="B80" s="162" t="s">
        <v>100</v>
      </c>
      <c r="C80" s="163"/>
      <c r="D80" s="163"/>
      <c r="E80" s="163"/>
      <c r="F80" s="164"/>
      <c r="G80" s="162" t="s">
        <v>101</v>
      </c>
      <c r="H80" s="163"/>
      <c r="I80" s="163"/>
      <c r="J80" s="163"/>
      <c r="K80" s="164"/>
      <c r="L80" s="165" t="s">
        <v>53</v>
      </c>
      <c r="M80" s="166"/>
      <c r="N80" s="166"/>
      <c r="O80" s="166"/>
      <c r="P80" s="167"/>
    </row>
    <row r="81" spans="1:18" ht="15" customHeight="1" x14ac:dyDescent="0.25">
      <c r="A81" s="5"/>
      <c r="B81" s="126"/>
      <c r="C81" s="127"/>
      <c r="D81" s="127"/>
      <c r="E81" s="127"/>
      <c r="F81" s="128"/>
      <c r="G81" s="126"/>
      <c r="H81" s="127"/>
      <c r="I81" s="127"/>
      <c r="J81" s="127"/>
      <c r="K81" s="128"/>
      <c r="L81" s="135" t="s">
        <v>102</v>
      </c>
      <c r="M81" s="136"/>
      <c r="N81" s="136"/>
      <c r="O81" s="137">
        <f>+AVERAGE(E18:E58)</f>
        <v>0.31912499999999999</v>
      </c>
      <c r="P81" s="138"/>
    </row>
    <row r="82" spans="1:18" ht="15" customHeight="1" thickBot="1" x14ac:dyDescent="0.3">
      <c r="A82" s="5"/>
      <c r="B82" s="129"/>
      <c r="C82" s="130"/>
      <c r="D82" s="130"/>
      <c r="E82" s="130"/>
      <c r="F82" s="131"/>
      <c r="G82" s="129"/>
      <c r="H82" s="130"/>
      <c r="I82" s="130"/>
      <c r="J82" s="130"/>
      <c r="K82" s="131"/>
      <c r="L82" s="139" t="s">
        <v>103</v>
      </c>
      <c r="M82" s="140"/>
      <c r="N82" s="140"/>
      <c r="O82" s="141">
        <f>+MAX(E18:E58)</f>
        <v>0.45500000000000002</v>
      </c>
      <c r="P82" s="142"/>
    </row>
    <row r="83" spans="1:18" ht="18.600000000000001" customHeight="1" x14ac:dyDescent="0.25">
      <c r="A83" s="6"/>
      <c r="B83" s="129"/>
      <c r="C83" s="130"/>
      <c r="D83" s="130"/>
      <c r="E83" s="130"/>
      <c r="F83" s="131"/>
      <c r="G83" s="129"/>
      <c r="H83" s="130"/>
      <c r="I83" s="130"/>
      <c r="J83" s="130"/>
      <c r="K83" s="131"/>
      <c r="L83" s="143" t="s">
        <v>113</v>
      </c>
      <c r="M83" s="144"/>
      <c r="N83" s="144"/>
      <c r="O83" s="144"/>
      <c r="P83" s="145"/>
    </row>
    <row r="84" spans="1:18" ht="70.5" customHeight="1" x14ac:dyDescent="0.25">
      <c r="A84" s="10"/>
      <c r="B84" s="129"/>
      <c r="C84" s="130"/>
      <c r="D84" s="130"/>
      <c r="E84" s="130"/>
      <c r="F84" s="131"/>
      <c r="G84" s="129"/>
      <c r="H84" s="130"/>
      <c r="I84" s="130"/>
      <c r="J84" s="130"/>
      <c r="K84" s="131"/>
      <c r="L84" s="146"/>
      <c r="M84" s="147"/>
      <c r="N84" s="147"/>
      <c r="O84" s="147"/>
      <c r="P84" s="148"/>
    </row>
    <row r="85" spans="1:18" ht="15" customHeight="1" thickBot="1" x14ac:dyDescent="0.3">
      <c r="A85" s="5"/>
      <c r="B85" s="129"/>
      <c r="C85" s="130"/>
      <c r="D85" s="130"/>
      <c r="E85" s="130"/>
      <c r="F85" s="131"/>
      <c r="G85" s="129"/>
      <c r="H85" s="130"/>
      <c r="I85" s="130"/>
      <c r="J85" s="130"/>
      <c r="K85" s="131"/>
      <c r="L85" s="149"/>
      <c r="M85" s="150"/>
      <c r="N85" s="150"/>
      <c r="O85" s="150"/>
      <c r="P85" s="151"/>
    </row>
    <row r="86" spans="1:18" ht="22.5" customHeight="1" thickBot="1" x14ac:dyDescent="0.3">
      <c r="A86" s="5"/>
      <c r="B86" s="129"/>
      <c r="C86" s="130"/>
      <c r="D86" s="130"/>
      <c r="E86" s="130"/>
      <c r="F86" s="131"/>
      <c r="G86" s="129"/>
      <c r="H86" s="130"/>
      <c r="I86" s="130"/>
      <c r="J86" s="130"/>
      <c r="K86" s="131"/>
      <c r="L86" s="152" t="s">
        <v>36</v>
      </c>
      <c r="M86" s="153"/>
      <c r="N86" s="153"/>
      <c r="O86" s="153"/>
      <c r="P86" s="97">
        <v>11.89</v>
      </c>
    </row>
    <row r="87" spans="1:18" ht="32.25" customHeight="1" thickBot="1" x14ac:dyDescent="0.3">
      <c r="A87" s="5"/>
      <c r="B87" s="132"/>
      <c r="C87" s="133"/>
      <c r="D87" s="133"/>
      <c r="E87" s="133"/>
      <c r="F87" s="134"/>
      <c r="G87" s="132"/>
      <c r="H87" s="133"/>
      <c r="I87" s="133"/>
      <c r="J87" s="133"/>
      <c r="K87" s="134"/>
      <c r="L87" s="154" t="s">
        <v>52</v>
      </c>
      <c r="M87" s="155"/>
      <c r="N87" s="155"/>
      <c r="O87" s="155"/>
      <c r="P87" s="97">
        <v>0.15640000000000001</v>
      </c>
    </row>
    <row r="88" spans="1:18" ht="23.45" customHeight="1" thickBot="1" x14ac:dyDescent="0.3">
      <c r="A88" s="7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</row>
    <row r="89" spans="1:18" ht="15.75" thickBot="1" x14ac:dyDescent="0.3">
      <c r="A89" s="116" t="s">
        <v>37</v>
      </c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8"/>
    </row>
    <row r="90" spans="1:18" ht="159" customHeight="1" thickBot="1" x14ac:dyDescent="0.3">
      <c r="A90" s="4"/>
      <c r="B90" s="119"/>
      <c r="C90" s="120"/>
      <c r="D90" s="120"/>
      <c r="E90" s="120"/>
      <c r="F90" s="121"/>
      <c r="G90" s="119"/>
      <c r="H90" s="120"/>
      <c r="I90" s="120"/>
      <c r="J90" s="120"/>
      <c r="K90" s="121"/>
      <c r="L90" s="119"/>
      <c r="M90" s="120"/>
      <c r="N90" s="120"/>
      <c r="O90" s="120"/>
      <c r="P90" s="122"/>
    </row>
    <row r="91" spans="1:18" ht="21.75" customHeight="1" thickBot="1" x14ac:dyDescent="0.3">
      <c r="A91" s="4"/>
      <c r="B91" s="123" t="s">
        <v>104</v>
      </c>
      <c r="C91" s="124"/>
      <c r="D91" s="124"/>
      <c r="E91" s="124"/>
      <c r="F91" s="125"/>
      <c r="G91" s="123" t="s">
        <v>104</v>
      </c>
      <c r="H91" s="124"/>
      <c r="I91" s="124"/>
      <c r="J91" s="124"/>
      <c r="K91" s="125"/>
      <c r="L91" s="123" t="s">
        <v>104</v>
      </c>
      <c r="M91" s="124"/>
      <c r="N91" s="124"/>
      <c r="O91" s="124"/>
      <c r="P91" s="125"/>
    </row>
    <row r="92" spans="1:18" s="9" customFormat="1" ht="16.899999999999999" customHeight="1" thickBot="1" x14ac:dyDescent="0.3">
      <c r="A92" s="8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1"/>
      <c r="R92"/>
    </row>
    <row r="93" spans="1:18" s="3" customFormat="1" ht="15.75" customHeight="1" thickBot="1" x14ac:dyDescent="0.3">
      <c r="A93" s="112" t="s">
        <v>38</v>
      </c>
      <c r="B93" s="113"/>
      <c r="C93" s="113"/>
      <c r="D93" s="113"/>
      <c r="E93" s="113"/>
      <c r="F93" s="113"/>
      <c r="G93" s="113"/>
      <c r="H93" s="113"/>
      <c r="I93" s="113"/>
      <c r="J93" s="113" t="s">
        <v>39</v>
      </c>
      <c r="K93" s="113"/>
      <c r="L93" s="113"/>
      <c r="M93" s="113"/>
      <c r="N93" s="113"/>
      <c r="O93" s="113"/>
      <c r="P93" s="114"/>
      <c r="R93"/>
    </row>
  </sheetData>
  <mergeCells count="18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54:M58"/>
    <mergeCell ref="N54:N58"/>
    <mergeCell ref="O54:O58"/>
    <mergeCell ref="P54:P58"/>
    <mergeCell ref="B59:B64"/>
    <mergeCell ref="C59:P64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C65:H65"/>
    <mergeCell ref="I65:I66"/>
    <mergeCell ref="K65:P65"/>
    <mergeCell ref="C66:H66"/>
    <mergeCell ref="K66:P66"/>
    <mergeCell ref="B67:B77"/>
    <mergeCell ref="C67:C71"/>
    <mergeCell ref="D67:D71"/>
    <mergeCell ref="E67:E77"/>
    <mergeCell ref="K67:K77"/>
    <mergeCell ref="B78:J79"/>
    <mergeCell ref="O78:O79"/>
    <mergeCell ref="P78:P79"/>
    <mergeCell ref="B80:F80"/>
    <mergeCell ref="G80:K80"/>
    <mergeCell ref="L80:P80"/>
    <mergeCell ref="L67:L77"/>
    <mergeCell ref="M67:M77"/>
    <mergeCell ref="N67:N77"/>
    <mergeCell ref="O67:O77"/>
    <mergeCell ref="P67:P77"/>
    <mergeCell ref="C72:C77"/>
    <mergeCell ref="D72:D77"/>
    <mergeCell ref="B81:F87"/>
    <mergeCell ref="G81:K87"/>
    <mergeCell ref="L81:N81"/>
    <mergeCell ref="O81:P81"/>
    <mergeCell ref="L82:N82"/>
    <mergeCell ref="O82:P82"/>
    <mergeCell ref="L83:P85"/>
    <mergeCell ref="L86:O86"/>
    <mergeCell ref="L87:O87"/>
    <mergeCell ref="B92:P92"/>
    <mergeCell ref="A93:C93"/>
    <mergeCell ref="D93:I93"/>
    <mergeCell ref="J93:K93"/>
    <mergeCell ref="L93:P93"/>
    <mergeCell ref="B88:P88"/>
    <mergeCell ref="A89:P89"/>
    <mergeCell ref="B90:F90"/>
    <mergeCell ref="G90:K90"/>
    <mergeCell ref="L90:P90"/>
    <mergeCell ref="B91:F91"/>
    <mergeCell ref="G91:K91"/>
    <mergeCell ref="L91:P9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"/>
  <sheetViews>
    <sheetView view="pageBreakPreview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0"/>
      <c r="B2" s="311"/>
      <c r="C2" s="312"/>
      <c r="D2" s="313"/>
      <c r="E2" s="314" t="s">
        <v>121</v>
      </c>
      <c r="F2" s="315"/>
      <c r="G2" s="315"/>
      <c r="H2" s="315"/>
      <c r="I2" s="315"/>
      <c r="J2" s="315"/>
      <c r="K2" s="315"/>
      <c r="L2" s="315"/>
      <c r="M2" s="315"/>
      <c r="N2" s="315"/>
      <c r="O2" s="316"/>
      <c r="P2" s="317"/>
    </row>
    <row r="3" spans="1:26" s="2" customFormat="1" ht="22.5" customHeight="1" thickBot="1" x14ac:dyDescent="0.3">
      <c r="A3" s="310"/>
      <c r="B3" s="318"/>
      <c r="C3" s="319"/>
      <c r="D3" s="320"/>
      <c r="E3" s="321"/>
      <c r="F3" s="322"/>
      <c r="G3" s="322"/>
      <c r="H3" s="322"/>
      <c r="I3" s="322"/>
      <c r="J3" s="322"/>
      <c r="K3" s="322"/>
      <c r="L3" s="322"/>
      <c r="M3" s="322"/>
      <c r="N3" s="322"/>
      <c r="O3" s="323"/>
      <c r="P3" s="324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43082</v>
      </c>
      <c r="D5" s="298"/>
      <c r="E5" s="22" t="s">
        <v>1</v>
      </c>
      <c r="F5" s="23">
        <v>2</v>
      </c>
      <c r="G5" s="24" t="s">
        <v>2</v>
      </c>
      <c r="H5" s="299" t="s">
        <v>122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109</v>
      </c>
      <c r="E6" s="283"/>
      <c r="F6" s="283"/>
      <c r="G6" s="283"/>
      <c r="H6" s="283"/>
      <c r="I6" s="284"/>
      <c r="J6" s="28" t="s">
        <v>4</v>
      </c>
      <c r="K6" s="285" t="s">
        <v>114</v>
      </c>
      <c r="L6" s="284"/>
      <c r="M6" s="285" t="s">
        <v>115</v>
      </c>
      <c r="N6" s="286"/>
      <c r="O6" s="29" t="s">
        <v>54</v>
      </c>
      <c r="P6" s="30">
        <v>1631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37"/>
      <c r="K9" s="269" t="s">
        <v>64</v>
      </c>
      <c r="L9" s="273" t="s">
        <v>116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38" t="s">
        <v>5</v>
      </c>
      <c r="G10" s="212"/>
      <c r="H10" s="253" t="s">
        <v>10</v>
      </c>
      <c r="I10" s="248"/>
      <c r="J10" s="39" t="s">
        <v>5</v>
      </c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0.30902777777777779</v>
      </c>
      <c r="F11" s="256" t="s">
        <v>12</v>
      </c>
      <c r="G11" s="255"/>
      <c r="H11" s="41">
        <v>1.26</v>
      </c>
      <c r="I11" s="257" t="s">
        <v>13</v>
      </c>
      <c r="J11" s="258"/>
      <c r="K11" s="41">
        <v>15</v>
      </c>
      <c r="L11" s="254" t="s">
        <v>14</v>
      </c>
      <c r="M11" s="255"/>
      <c r="N11" s="42">
        <v>3.51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0.3888888888888889</v>
      </c>
      <c r="F12" s="249" t="s">
        <v>16</v>
      </c>
      <c r="G12" s="248"/>
      <c r="H12" s="41">
        <v>1.25</v>
      </c>
      <c r="I12" s="250" t="s">
        <v>17</v>
      </c>
      <c r="J12" s="248"/>
      <c r="K12" s="40">
        <v>0.29375000000000001</v>
      </c>
      <c r="L12" s="247" t="s">
        <v>18</v>
      </c>
      <c r="M12" s="248"/>
      <c r="N12" s="43">
        <v>0.4</v>
      </c>
      <c r="O12" s="251">
        <v>0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 t="s">
        <v>70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77</v>
      </c>
      <c r="I16" s="228" t="s">
        <v>78</v>
      </c>
      <c r="J16" s="96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0"/>
      <c r="C17" s="222"/>
      <c r="D17" s="222"/>
      <c r="E17" s="222"/>
      <c r="F17" s="226"/>
      <c r="G17" s="227"/>
      <c r="H17" s="222"/>
      <c r="I17" s="229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0</v>
      </c>
      <c r="D18" s="54">
        <v>0.35599999999999998</v>
      </c>
      <c r="E18" s="55"/>
      <c r="F18" s="56"/>
      <c r="G18" s="95"/>
      <c r="H18" s="57"/>
      <c r="I18" s="58"/>
      <c r="J18" s="94"/>
      <c r="K18" s="55"/>
      <c r="L18" s="55"/>
      <c r="M18" s="55"/>
      <c r="N18" s="55"/>
      <c r="O18" s="55"/>
      <c r="P18" s="59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0">
        <v>1</v>
      </c>
      <c r="C19" s="213">
        <f>+C18+$N$12</f>
        <v>0.4</v>
      </c>
      <c r="D19" s="190">
        <v>0.44500000000000001</v>
      </c>
      <c r="E19" s="190">
        <v>0.45600000000000002</v>
      </c>
      <c r="F19" s="61" t="s">
        <v>79</v>
      </c>
      <c r="G19" s="62">
        <v>0</v>
      </c>
      <c r="H19" s="63"/>
      <c r="I19" s="64"/>
      <c r="J19" s="65">
        <v>7.0000000000000001E-3</v>
      </c>
      <c r="K19" s="190">
        <f>+IF(E19&lt;=0.12,(J21),(IF(E19&lt;0.16,((J20+2*J21+J22)/4),IF(E19&gt;=0.16,((J19+3*J20+2*J21+3*J22+J23)/10)))))</f>
        <v>0.1227</v>
      </c>
      <c r="L19" s="190">
        <f>ROUND(+(D18+D19)/2*(C19-C18),3)</f>
        <v>0.16</v>
      </c>
      <c r="M19" s="190">
        <f>ROUND(+K19*L19,4)</f>
        <v>1.9599999999999999E-2</v>
      </c>
      <c r="N19" s="193">
        <f>ROUND(+M19/$M$83*100,2)</f>
        <v>6.42</v>
      </c>
      <c r="O19" s="194"/>
      <c r="P19" s="195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1"/>
      <c r="C20" s="191"/>
      <c r="D20" s="191"/>
      <c r="E20" s="191"/>
      <c r="F20" s="66" t="s">
        <v>80</v>
      </c>
      <c r="G20" s="67">
        <f>IF(E19&lt;0.125,"NA",IF(0.125&lt;=E19,(0.2*E19)))</f>
        <v>9.1200000000000003E-2</v>
      </c>
      <c r="H20" s="68"/>
      <c r="I20" s="69"/>
      <c r="J20" s="70">
        <v>4.1000000000000002E-2</v>
      </c>
      <c r="K20" s="191"/>
      <c r="L20" s="191"/>
      <c r="M20" s="191"/>
      <c r="N20" s="191"/>
      <c r="O20" s="191"/>
      <c r="P20" s="196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1"/>
      <c r="C21" s="191"/>
      <c r="D21" s="191"/>
      <c r="E21" s="191"/>
      <c r="F21" s="66" t="s">
        <v>81</v>
      </c>
      <c r="G21" s="67">
        <f>+E19*0.4</f>
        <v>0.18240000000000001</v>
      </c>
      <c r="H21" s="68"/>
      <c r="I21" s="69"/>
      <c r="J21" s="70">
        <v>9.9000000000000005E-2</v>
      </c>
      <c r="K21" s="191"/>
      <c r="L21" s="191"/>
      <c r="M21" s="191"/>
      <c r="N21" s="191"/>
      <c r="O21" s="191"/>
      <c r="P21" s="196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1"/>
      <c r="C22" s="191"/>
      <c r="D22" s="191"/>
      <c r="E22" s="191"/>
      <c r="F22" s="66" t="s">
        <v>82</v>
      </c>
      <c r="G22" s="67">
        <f>IF(E19&lt;0.125,"NA",IF(0.125&lt;=E19,(0.8*E19)))</f>
        <v>0.36480000000000001</v>
      </c>
      <c r="H22" s="68"/>
      <c r="I22" s="69"/>
      <c r="J22" s="70">
        <v>0.215</v>
      </c>
      <c r="K22" s="191"/>
      <c r="L22" s="191"/>
      <c r="M22" s="191"/>
      <c r="N22" s="191"/>
      <c r="O22" s="191"/>
      <c r="P22" s="196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2"/>
      <c r="C23" s="192"/>
      <c r="D23" s="192"/>
      <c r="E23" s="192"/>
      <c r="F23" s="71" t="s">
        <v>83</v>
      </c>
      <c r="G23" s="72">
        <f>+E19</f>
        <v>0.45600000000000002</v>
      </c>
      <c r="H23" s="73"/>
      <c r="I23" s="74"/>
      <c r="J23" s="75">
        <v>0.254</v>
      </c>
      <c r="K23" s="192"/>
      <c r="L23" s="192"/>
      <c r="M23" s="192"/>
      <c r="N23" s="192"/>
      <c r="O23" s="192"/>
      <c r="P23" s="197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0">
        <v>2</v>
      </c>
      <c r="C24" s="213">
        <f>+C19+$N$12</f>
        <v>0.8</v>
      </c>
      <c r="D24" s="190">
        <v>0.45500000000000002</v>
      </c>
      <c r="E24" s="190">
        <v>0.441</v>
      </c>
      <c r="F24" s="61" t="s">
        <v>79</v>
      </c>
      <c r="G24" s="62">
        <v>0</v>
      </c>
      <c r="H24" s="63"/>
      <c r="I24" s="64"/>
      <c r="J24" s="65">
        <v>8.9999999999999993E-3</v>
      </c>
      <c r="K24" s="190">
        <f t="shared" ref="K24" si="0">+IF(E24&lt;=0.12,(J26),(IF(E24&lt;0.16,((J25+2*J26+J27)/4),IF(E24&gt;=0.16,((J24+3*J25+2*J26+3*J27+J28)/10)))))</f>
        <v>0.15529999999999999</v>
      </c>
      <c r="L24" s="190">
        <f>ROUND(+(D19+D24)/2*(C24-C19),3)</f>
        <v>0.18</v>
      </c>
      <c r="M24" s="190">
        <f t="shared" ref="M24" si="1">ROUND(+K24*L24,4)</f>
        <v>2.8000000000000001E-2</v>
      </c>
      <c r="N24" s="193">
        <f t="shared" ref="N24" si="2">ROUND(+M24/$M$83*100,2)</f>
        <v>9.17</v>
      </c>
      <c r="O24" s="194"/>
      <c r="P24" s="195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1"/>
      <c r="C25" s="191"/>
      <c r="D25" s="191"/>
      <c r="E25" s="191"/>
      <c r="F25" s="66" t="s">
        <v>80</v>
      </c>
      <c r="G25" s="67">
        <f t="shared" ref="G25" si="3">IF(E24&lt;0.125,"NA",IF(0.125&lt;=E24,(0.2*E24)))</f>
        <v>8.8200000000000001E-2</v>
      </c>
      <c r="H25" s="68"/>
      <c r="I25" s="69"/>
      <c r="J25" s="70">
        <v>4.7E-2</v>
      </c>
      <c r="K25" s="191"/>
      <c r="L25" s="191"/>
      <c r="M25" s="191"/>
      <c r="N25" s="191"/>
      <c r="O25" s="191"/>
      <c r="P25" s="196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1"/>
      <c r="C26" s="191"/>
      <c r="D26" s="191"/>
      <c r="E26" s="191"/>
      <c r="F26" s="66" t="s">
        <v>81</v>
      </c>
      <c r="G26" s="67">
        <f t="shared" ref="G26" si="4">+E24*0.4</f>
        <v>0.1764</v>
      </c>
      <c r="H26" s="68"/>
      <c r="I26" s="69"/>
      <c r="J26" s="70">
        <v>9.7000000000000003E-2</v>
      </c>
      <c r="K26" s="191"/>
      <c r="L26" s="191"/>
      <c r="M26" s="191"/>
      <c r="N26" s="191"/>
      <c r="O26" s="191"/>
      <c r="P26" s="196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1"/>
      <c r="C27" s="191"/>
      <c r="D27" s="191"/>
      <c r="E27" s="191"/>
      <c r="F27" s="66" t="s">
        <v>82</v>
      </c>
      <c r="G27" s="67">
        <f t="shared" ref="G27" si="5">IF(E24&lt;0.125,"NA",IF(0.125&lt;=E24,(0.8*E24)))</f>
        <v>0.3528</v>
      </c>
      <c r="H27" s="68"/>
      <c r="I27" s="69"/>
      <c r="J27" s="70">
        <v>0.27300000000000002</v>
      </c>
      <c r="K27" s="191"/>
      <c r="L27" s="191"/>
      <c r="M27" s="191"/>
      <c r="N27" s="191"/>
      <c r="O27" s="191"/>
      <c r="P27" s="196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2"/>
      <c r="C28" s="192"/>
      <c r="D28" s="192"/>
      <c r="E28" s="192"/>
      <c r="F28" s="71" t="s">
        <v>83</v>
      </c>
      <c r="G28" s="72">
        <f t="shared" ref="G28" si="6">+E24</f>
        <v>0.441</v>
      </c>
      <c r="H28" s="73"/>
      <c r="I28" s="74"/>
      <c r="J28" s="75">
        <v>0.39</v>
      </c>
      <c r="K28" s="192"/>
      <c r="L28" s="192"/>
      <c r="M28" s="192"/>
      <c r="N28" s="192"/>
      <c r="O28" s="192"/>
      <c r="P28" s="197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0">
        <v>3</v>
      </c>
      <c r="C29" s="213">
        <f>+C24+$N$12</f>
        <v>1.2000000000000002</v>
      </c>
      <c r="D29" s="190">
        <v>0.51700000000000002</v>
      </c>
      <c r="E29" s="190">
        <v>0.45500000000000002</v>
      </c>
      <c r="F29" s="61" t="s">
        <v>79</v>
      </c>
      <c r="G29" s="62">
        <v>0</v>
      </c>
      <c r="H29" s="63"/>
      <c r="I29" s="64"/>
      <c r="J29" s="65">
        <v>2.1000000000000001E-2</v>
      </c>
      <c r="K29" s="190">
        <f t="shared" ref="K29" si="7">+IF(E29&lt;=0.12,(J31),(IF(E29&lt;0.16,((J30+2*J31+J32)/4),IF(E29&gt;=0.16,((J29+3*J30+2*J31+3*J32+J33)/10)))))</f>
        <v>0.16339999999999999</v>
      </c>
      <c r="L29" s="190">
        <f>ROUND(+(D24+D29)/2*(C29-C24),3)</f>
        <v>0.19400000000000001</v>
      </c>
      <c r="M29" s="190">
        <f t="shared" ref="M29" si="8">ROUND(+K29*L29,4)</f>
        <v>3.1699999999999999E-2</v>
      </c>
      <c r="N29" s="193">
        <f t="shared" ref="N29" si="9">ROUND(+M29/$M$83*100,2)</f>
        <v>10.39</v>
      </c>
      <c r="O29" s="194"/>
      <c r="P29" s="195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1"/>
      <c r="C30" s="191"/>
      <c r="D30" s="191"/>
      <c r="E30" s="191"/>
      <c r="F30" s="66" t="s">
        <v>80</v>
      </c>
      <c r="G30" s="67">
        <f t="shared" ref="G30" si="10">IF(E29&lt;0.125,"NA",IF(0.125&lt;=E29,(0.2*E29)))</f>
        <v>9.1000000000000011E-2</v>
      </c>
      <c r="H30" s="68"/>
      <c r="I30" s="69"/>
      <c r="J30" s="70">
        <v>4.1000000000000002E-2</v>
      </c>
      <c r="K30" s="191"/>
      <c r="L30" s="191"/>
      <c r="M30" s="191"/>
      <c r="N30" s="191"/>
      <c r="O30" s="191"/>
      <c r="P30" s="196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1"/>
      <c r="C31" s="191"/>
      <c r="D31" s="191"/>
      <c r="E31" s="191"/>
      <c r="F31" s="66" t="s">
        <v>81</v>
      </c>
      <c r="G31" s="67">
        <f t="shared" ref="G31" si="11">+E29*0.4</f>
        <v>0.18200000000000002</v>
      </c>
      <c r="H31" s="68"/>
      <c r="I31" s="69"/>
      <c r="J31" s="70">
        <v>0.04</v>
      </c>
      <c r="K31" s="191"/>
      <c r="L31" s="191"/>
      <c r="M31" s="191"/>
      <c r="N31" s="191"/>
      <c r="O31" s="191"/>
      <c r="P31" s="196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1"/>
      <c r="C32" s="191"/>
      <c r="D32" s="191"/>
      <c r="E32" s="191"/>
      <c r="F32" s="66" t="s">
        <v>82</v>
      </c>
      <c r="G32" s="67">
        <f t="shared" ref="G32" si="12">IF(E29&lt;0.125,"NA",IF(0.125&lt;=E29,(0.8*E29)))</f>
        <v>0.36400000000000005</v>
      </c>
      <c r="H32" s="68"/>
      <c r="I32" s="69"/>
      <c r="J32" s="70">
        <v>0.35</v>
      </c>
      <c r="K32" s="191"/>
      <c r="L32" s="191"/>
      <c r="M32" s="191"/>
      <c r="N32" s="191"/>
      <c r="O32" s="191"/>
      <c r="P32" s="196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2"/>
      <c r="C33" s="192"/>
      <c r="D33" s="192"/>
      <c r="E33" s="192"/>
      <c r="F33" s="71" t="s">
        <v>83</v>
      </c>
      <c r="G33" s="72">
        <f t="shared" ref="G33" si="13">+E29</f>
        <v>0.45500000000000002</v>
      </c>
      <c r="H33" s="73"/>
      <c r="I33" s="74"/>
      <c r="J33" s="75">
        <v>0.36</v>
      </c>
      <c r="K33" s="192"/>
      <c r="L33" s="192"/>
      <c r="M33" s="192"/>
      <c r="N33" s="192"/>
      <c r="O33" s="192"/>
      <c r="P33" s="197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0">
        <v>4</v>
      </c>
      <c r="C34" s="213">
        <f>+C29+$N$12</f>
        <v>1.6</v>
      </c>
      <c r="D34" s="190">
        <v>0.56299999999999994</v>
      </c>
      <c r="E34" s="190">
        <v>0.56599999999999995</v>
      </c>
      <c r="F34" s="61" t="s">
        <v>79</v>
      </c>
      <c r="G34" s="62">
        <v>0</v>
      </c>
      <c r="H34" s="63"/>
      <c r="I34" s="64"/>
      <c r="J34" s="65"/>
      <c r="K34" s="190"/>
      <c r="L34" s="190"/>
      <c r="M34" s="190"/>
      <c r="N34" s="193"/>
      <c r="O34" s="194"/>
      <c r="P34" s="195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1"/>
      <c r="C35" s="191"/>
      <c r="D35" s="191"/>
      <c r="E35" s="191"/>
      <c r="F35" s="66" t="s">
        <v>80</v>
      </c>
      <c r="G35" s="67">
        <f t="shared" ref="G35" si="14">IF(E34&lt;0.125,"NA",IF(0.125&lt;=E34,(0.2*E34)))</f>
        <v>0.1132</v>
      </c>
      <c r="H35" s="68"/>
      <c r="I35" s="69"/>
      <c r="J35" s="70"/>
      <c r="K35" s="191"/>
      <c r="L35" s="191"/>
      <c r="M35" s="191"/>
      <c r="N35" s="191"/>
      <c r="O35" s="191"/>
      <c r="P35" s="196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1"/>
      <c r="C36" s="191"/>
      <c r="D36" s="191"/>
      <c r="E36" s="191"/>
      <c r="F36" s="66" t="s">
        <v>81</v>
      </c>
      <c r="G36" s="67">
        <f t="shared" ref="G36" si="15">+E34*0.4</f>
        <v>0.22639999999999999</v>
      </c>
      <c r="H36" s="68"/>
      <c r="I36" s="69"/>
      <c r="J36" s="70"/>
      <c r="K36" s="191"/>
      <c r="L36" s="191"/>
      <c r="M36" s="191"/>
      <c r="N36" s="191"/>
      <c r="O36" s="191"/>
      <c r="P36" s="196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1"/>
      <c r="C37" s="191"/>
      <c r="D37" s="191"/>
      <c r="E37" s="191"/>
      <c r="F37" s="66" t="s">
        <v>82</v>
      </c>
      <c r="G37" s="67">
        <f t="shared" ref="G37" si="16">IF(E34&lt;0.125,"NA",IF(0.125&lt;=E34,(0.8*E34)))</f>
        <v>0.45279999999999998</v>
      </c>
      <c r="H37" s="68"/>
      <c r="I37" s="69"/>
      <c r="J37" s="70"/>
      <c r="K37" s="191"/>
      <c r="L37" s="191"/>
      <c r="M37" s="191"/>
      <c r="N37" s="191"/>
      <c r="O37" s="191"/>
      <c r="P37" s="196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2"/>
      <c r="C38" s="192"/>
      <c r="D38" s="192"/>
      <c r="E38" s="192"/>
      <c r="F38" s="71" t="s">
        <v>83</v>
      </c>
      <c r="G38" s="72">
        <f t="shared" ref="G38" si="17">+E34</f>
        <v>0.56599999999999995</v>
      </c>
      <c r="H38" s="73"/>
      <c r="I38" s="74"/>
      <c r="J38" s="75"/>
      <c r="K38" s="192"/>
      <c r="L38" s="192"/>
      <c r="M38" s="192"/>
      <c r="N38" s="192"/>
      <c r="O38" s="192"/>
      <c r="P38" s="197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0">
        <v>5</v>
      </c>
      <c r="C39" s="213">
        <f>+C34+$N$12</f>
        <v>2</v>
      </c>
      <c r="D39" s="190">
        <v>0.46</v>
      </c>
      <c r="E39" s="190">
        <v>0.32</v>
      </c>
      <c r="F39" s="61" t="s">
        <v>79</v>
      </c>
      <c r="G39" s="62">
        <v>0</v>
      </c>
      <c r="H39" s="63"/>
      <c r="I39" s="64"/>
      <c r="J39" s="65">
        <v>2.5000000000000001E-2</v>
      </c>
      <c r="K39" s="190">
        <f t="shared" ref="K39" si="18">+IF(E39&lt;=0.12,(J41),(IF(E39&lt;0.16,((J40+2*J41+J42)/4),IF(E39&gt;=0.16,((J39+3*J40+2*J41+3*J42+J43)/10)))))</f>
        <v>0.27510000000000001</v>
      </c>
      <c r="L39" s="190">
        <f t="shared" ref="L39" si="19">ROUND(+(D34+D39)/2*(C39-C34),3)</f>
        <v>0.20499999999999999</v>
      </c>
      <c r="M39" s="190">
        <f t="shared" ref="M39" si="20">ROUND(+K39*L39,4)</f>
        <v>5.6399999999999999E-2</v>
      </c>
      <c r="N39" s="193">
        <f t="shared" ref="N39" si="21">ROUND(+M39/$M$83*100,2)</f>
        <v>18.48</v>
      </c>
      <c r="O39" s="194"/>
      <c r="P39" s="195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1"/>
      <c r="C40" s="191"/>
      <c r="D40" s="191"/>
      <c r="E40" s="191"/>
      <c r="F40" s="66" t="s">
        <v>80</v>
      </c>
      <c r="G40" s="67">
        <f t="shared" ref="G40" si="22">IF(E39&lt;0.125,"NA",IF(0.125&lt;=E39,(0.2*E39)))</f>
        <v>6.4000000000000001E-2</v>
      </c>
      <c r="H40" s="68"/>
      <c r="I40" s="69"/>
      <c r="J40" s="70">
        <v>9.8000000000000004E-2</v>
      </c>
      <c r="K40" s="191"/>
      <c r="L40" s="191"/>
      <c r="M40" s="191"/>
      <c r="N40" s="191"/>
      <c r="O40" s="191"/>
      <c r="P40" s="196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1"/>
      <c r="C41" s="191"/>
      <c r="D41" s="191"/>
      <c r="E41" s="191"/>
      <c r="F41" s="66" t="s">
        <v>81</v>
      </c>
      <c r="G41" s="67">
        <f t="shared" ref="G41" si="23">+E39*0.4</f>
        <v>0.128</v>
      </c>
      <c r="H41" s="68"/>
      <c r="I41" s="69"/>
      <c r="J41" s="70">
        <v>0.23</v>
      </c>
      <c r="K41" s="191"/>
      <c r="L41" s="191"/>
      <c r="M41" s="191"/>
      <c r="N41" s="191"/>
      <c r="O41" s="191"/>
      <c r="P41" s="196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1"/>
      <c r="C42" s="191"/>
      <c r="D42" s="191"/>
      <c r="E42" s="191"/>
      <c r="F42" s="66" t="s">
        <v>82</v>
      </c>
      <c r="G42" s="67">
        <f t="shared" ref="G42" si="24">IF(E39&lt;0.125,"NA",IF(0.125&lt;=E39,(0.8*E39)))</f>
        <v>0.25600000000000001</v>
      </c>
      <c r="H42" s="68"/>
      <c r="I42" s="69"/>
      <c r="J42" s="70">
        <v>0.50800000000000001</v>
      </c>
      <c r="K42" s="191"/>
      <c r="L42" s="191"/>
      <c r="M42" s="191"/>
      <c r="N42" s="191"/>
      <c r="O42" s="191"/>
      <c r="P42" s="196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2"/>
      <c r="C43" s="192"/>
      <c r="D43" s="192"/>
      <c r="E43" s="192"/>
      <c r="F43" s="71" t="s">
        <v>83</v>
      </c>
      <c r="G43" s="72">
        <f t="shared" ref="G43" si="25">+E39</f>
        <v>0.32</v>
      </c>
      <c r="H43" s="73"/>
      <c r="I43" s="74"/>
      <c r="J43" s="75">
        <v>0.44800000000000001</v>
      </c>
      <c r="K43" s="192"/>
      <c r="L43" s="192"/>
      <c r="M43" s="192"/>
      <c r="N43" s="192"/>
      <c r="O43" s="192"/>
      <c r="P43" s="197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0">
        <v>6</v>
      </c>
      <c r="C44" s="213">
        <f>+C39+$N$12</f>
        <v>2.4</v>
      </c>
      <c r="D44" s="190">
        <v>0.4</v>
      </c>
      <c r="E44" s="190">
        <v>0.4</v>
      </c>
      <c r="F44" s="61" t="s">
        <v>79</v>
      </c>
      <c r="G44" s="62">
        <v>0</v>
      </c>
      <c r="H44" s="63"/>
      <c r="I44" s="64"/>
      <c r="J44" s="65">
        <v>0.04</v>
      </c>
      <c r="K44" s="190">
        <f t="shared" ref="K44" si="26">+IF(E44&lt;=0.12,(J46),(IF(E44&lt;0.16,((J45+2*J46+J47)/4),IF(E44&gt;=0.16,((J44+3*J45+2*J46+3*J47+J48)/10)))))</f>
        <v>0.34820000000000001</v>
      </c>
      <c r="L44" s="190">
        <f t="shared" ref="L44" si="27">ROUND(+(D39+D44)/2*(C44-C39),3)</f>
        <v>0.17199999999999999</v>
      </c>
      <c r="M44" s="190">
        <f t="shared" ref="M44" si="28">ROUND(+K44*L44,4)</f>
        <v>5.9900000000000002E-2</v>
      </c>
      <c r="N44" s="193">
        <f t="shared" ref="N44" si="29">ROUND(+M44/$M$83*100,2)</f>
        <v>19.63</v>
      </c>
      <c r="O44" s="194"/>
      <c r="P44" s="195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1"/>
      <c r="C45" s="191"/>
      <c r="D45" s="191"/>
      <c r="E45" s="191"/>
      <c r="F45" s="66" t="s">
        <v>80</v>
      </c>
      <c r="G45" s="67">
        <f t="shared" ref="G45" si="30">IF(E44&lt;0.125,"NA",IF(0.125&lt;=E44,(0.2*E44)))</f>
        <v>8.0000000000000016E-2</v>
      </c>
      <c r="H45" s="68"/>
      <c r="I45" s="69"/>
      <c r="J45" s="70">
        <v>9.0999999999999998E-2</v>
      </c>
      <c r="K45" s="191"/>
      <c r="L45" s="191"/>
      <c r="M45" s="191"/>
      <c r="N45" s="191"/>
      <c r="O45" s="191"/>
      <c r="P45" s="196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1"/>
      <c r="C46" s="191"/>
      <c r="D46" s="191"/>
      <c r="E46" s="191"/>
      <c r="F46" s="66" t="s">
        <v>81</v>
      </c>
      <c r="G46" s="67">
        <f t="shared" ref="G46" si="31">+E44*0.4</f>
        <v>0.16000000000000003</v>
      </c>
      <c r="H46" s="68"/>
      <c r="I46" s="69"/>
      <c r="J46" s="70">
        <v>0.34100000000000003</v>
      </c>
      <c r="K46" s="191"/>
      <c r="L46" s="191"/>
      <c r="M46" s="191"/>
      <c r="N46" s="191"/>
      <c r="O46" s="191"/>
      <c r="P46" s="196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1"/>
      <c r="C47" s="191"/>
      <c r="D47" s="191"/>
      <c r="E47" s="191"/>
      <c r="F47" s="66" t="s">
        <v>82</v>
      </c>
      <c r="G47" s="67">
        <f t="shared" ref="G47" si="32">IF(E44&lt;0.125,"NA",IF(0.125&lt;=E44,(0.8*E44)))</f>
        <v>0.32000000000000006</v>
      </c>
      <c r="H47" s="68"/>
      <c r="I47" s="69"/>
      <c r="J47" s="70">
        <v>0.60099999999999998</v>
      </c>
      <c r="K47" s="191"/>
      <c r="L47" s="191"/>
      <c r="M47" s="191"/>
      <c r="N47" s="191"/>
      <c r="O47" s="191"/>
      <c r="P47" s="196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2"/>
      <c r="C48" s="192"/>
      <c r="D48" s="192"/>
      <c r="E48" s="192"/>
      <c r="F48" s="71" t="s">
        <v>83</v>
      </c>
      <c r="G48" s="72">
        <f t="shared" ref="G48" si="33">+E44</f>
        <v>0.4</v>
      </c>
      <c r="H48" s="73"/>
      <c r="I48" s="74"/>
      <c r="J48" s="75">
        <v>0.68400000000000005</v>
      </c>
      <c r="K48" s="192"/>
      <c r="L48" s="192"/>
      <c r="M48" s="192"/>
      <c r="N48" s="192"/>
      <c r="O48" s="192"/>
      <c r="P48" s="197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0">
        <v>7</v>
      </c>
      <c r="C49" s="213">
        <f>+C44+$N$12</f>
        <v>2.8</v>
      </c>
      <c r="D49" s="190">
        <v>0.29399999999999998</v>
      </c>
      <c r="E49" s="190">
        <v>0.34899999999999998</v>
      </c>
      <c r="F49" s="61" t="s">
        <v>79</v>
      </c>
      <c r="G49" s="62">
        <v>0</v>
      </c>
      <c r="H49" s="63"/>
      <c r="I49" s="64"/>
      <c r="J49" s="65">
        <v>6.7000000000000004E-2</v>
      </c>
      <c r="K49" s="190">
        <f t="shared" ref="K49" si="34">+IF(E49&lt;=0.12,(J51),(IF(E49&lt;0.16,((J50+2*J51+J52)/4),IF(E49&gt;=0.16,((J49+3*J50+2*J51+3*J52+J53)/10)))))</f>
        <v>0.19769999999999999</v>
      </c>
      <c r="L49" s="190">
        <f t="shared" ref="L49" si="35">ROUND(+(D44+D49)/2*(C49-C44),3)</f>
        <v>0.13900000000000001</v>
      </c>
      <c r="M49" s="190">
        <f t="shared" ref="M49" si="36">ROUND(+K49*L49,4)</f>
        <v>2.75E-2</v>
      </c>
      <c r="N49" s="193">
        <f t="shared" ref="N49" si="37">ROUND(+M49/$M$83*100,2)</f>
        <v>9.01</v>
      </c>
      <c r="O49" s="194"/>
      <c r="P49" s="195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1"/>
      <c r="C50" s="191"/>
      <c r="D50" s="191"/>
      <c r="E50" s="191"/>
      <c r="F50" s="66" t="s">
        <v>80</v>
      </c>
      <c r="G50" s="67">
        <f t="shared" ref="G50" si="38">IF(E49&lt;0.125,"NA",IF(0.125&lt;=E49,(0.2*E49)))</f>
        <v>6.9800000000000001E-2</v>
      </c>
      <c r="H50" s="68"/>
      <c r="I50" s="69"/>
      <c r="J50" s="70">
        <v>0.12</v>
      </c>
      <c r="K50" s="191"/>
      <c r="L50" s="191"/>
      <c r="M50" s="191"/>
      <c r="N50" s="191"/>
      <c r="O50" s="191"/>
      <c r="P50" s="196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1"/>
      <c r="C51" s="191"/>
      <c r="D51" s="191"/>
      <c r="E51" s="191"/>
      <c r="F51" s="66" t="s">
        <v>81</v>
      </c>
      <c r="G51" s="67">
        <f t="shared" ref="G51" si="39">+E49*0.4</f>
        <v>0.1396</v>
      </c>
      <c r="H51" s="68"/>
      <c r="I51" s="69"/>
      <c r="J51" s="70">
        <v>0.221</v>
      </c>
      <c r="K51" s="191"/>
      <c r="L51" s="191"/>
      <c r="M51" s="191"/>
      <c r="N51" s="191"/>
      <c r="O51" s="191"/>
      <c r="P51" s="196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1"/>
      <c r="C52" s="191"/>
      <c r="D52" s="191"/>
      <c r="E52" s="191"/>
      <c r="F52" s="66" t="s">
        <v>82</v>
      </c>
      <c r="G52" s="67">
        <f t="shared" ref="G52" si="40">IF(E49&lt;0.125,"NA",IF(0.125&lt;=E49,(0.8*E49)))</f>
        <v>0.2792</v>
      </c>
      <c r="H52" s="68"/>
      <c r="I52" s="69"/>
      <c r="J52" s="70">
        <v>0.26700000000000002</v>
      </c>
      <c r="K52" s="191"/>
      <c r="L52" s="191"/>
      <c r="M52" s="191"/>
      <c r="N52" s="191"/>
      <c r="O52" s="191"/>
      <c r="P52" s="196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2"/>
      <c r="C53" s="192"/>
      <c r="D53" s="192"/>
      <c r="E53" s="192"/>
      <c r="F53" s="71" t="s">
        <v>83</v>
      </c>
      <c r="G53" s="72">
        <f t="shared" ref="G53" si="41">+E49</f>
        <v>0.34899999999999998</v>
      </c>
      <c r="H53" s="73"/>
      <c r="I53" s="74"/>
      <c r="J53" s="75">
        <v>0.307</v>
      </c>
      <c r="K53" s="192"/>
      <c r="L53" s="192"/>
      <c r="M53" s="192"/>
      <c r="N53" s="192"/>
      <c r="O53" s="192"/>
      <c r="P53" s="197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60" customFormat="1" ht="13.5" customHeight="1" x14ac:dyDescent="0.25">
      <c r="A54" s="52"/>
      <c r="B54" s="210">
        <v>8</v>
      </c>
      <c r="C54" s="213">
        <f>+C49+$N$12</f>
        <v>3.1999999999999997</v>
      </c>
      <c r="D54" s="190">
        <v>0.186</v>
      </c>
      <c r="E54" s="190">
        <v>0.24099999999999999</v>
      </c>
      <c r="F54" s="61" t="s">
        <v>79</v>
      </c>
      <c r="G54" s="62">
        <v>0</v>
      </c>
      <c r="H54" s="63"/>
      <c r="I54" s="64"/>
      <c r="J54" s="65">
        <v>7.0999999999999994E-2</v>
      </c>
      <c r="K54" s="190">
        <f t="shared" ref="K54" si="42">+IF(E54&lt;=0.12,(J56),(IF(E54&lt;0.16,((J55+2*J56+J57)/4),IF(E54&gt;=0.16,((J54+3*J55+2*J56+3*J57+J58)/10)))))</f>
        <v>0.1628</v>
      </c>
      <c r="L54" s="190">
        <f>ROUND(+(D49+D54)/2*(C54-C49),3)</f>
        <v>9.6000000000000002E-2</v>
      </c>
      <c r="M54" s="190">
        <f t="shared" ref="M54" si="43">ROUND(+K54*L54,4)</f>
        <v>1.5599999999999999E-2</v>
      </c>
      <c r="N54" s="193">
        <f t="shared" ref="N54" si="44">ROUND(+M54/$M$83*100,2)</f>
        <v>5.1100000000000003</v>
      </c>
      <c r="O54" s="194"/>
      <c r="P54" s="195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s="60" customFormat="1" ht="13.5" customHeight="1" x14ac:dyDescent="0.25">
      <c r="A55" s="52"/>
      <c r="B55" s="211"/>
      <c r="C55" s="191"/>
      <c r="D55" s="191"/>
      <c r="E55" s="191"/>
      <c r="F55" s="66" t="s">
        <v>80</v>
      </c>
      <c r="G55" s="67">
        <f t="shared" ref="G55" si="45">IF(E54&lt;0.125,"NA",IF(0.125&lt;=E54,(0.2*E54)))</f>
        <v>4.82E-2</v>
      </c>
      <c r="H55" s="68"/>
      <c r="I55" s="69"/>
      <c r="J55" s="70">
        <v>0.121</v>
      </c>
      <c r="K55" s="191"/>
      <c r="L55" s="191"/>
      <c r="M55" s="191"/>
      <c r="N55" s="191"/>
      <c r="O55" s="191"/>
      <c r="P55" s="196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60" customFormat="1" ht="13.5" customHeight="1" x14ac:dyDescent="0.25">
      <c r="A56" s="52"/>
      <c r="B56" s="211"/>
      <c r="C56" s="191"/>
      <c r="D56" s="191"/>
      <c r="E56" s="191"/>
      <c r="F56" s="66" t="s">
        <v>81</v>
      </c>
      <c r="G56" s="67">
        <f t="shared" ref="G56" si="46">+E54*0.4</f>
        <v>9.64E-2</v>
      </c>
      <c r="H56" s="68"/>
      <c r="I56" s="69"/>
      <c r="J56" s="70">
        <v>0.189</v>
      </c>
      <c r="K56" s="191"/>
      <c r="L56" s="191"/>
      <c r="M56" s="191"/>
      <c r="N56" s="191"/>
      <c r="O56" s="191"/>
      <c r="P56" s="196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s="60" customFormat="1" ht="13.5" customHeight="1" x14ac:dyDescent="0.25">
      <c r="A57" s="52"/>
      <c r="B57" s="211"/>
      <c r="C57" s="191"/>
      <c r="D57" s="191"/>
      <c r="E57" s="191"/>
      <c r="F57" s="66" t="s">
        <v>82</v>
      </c>
      <c r="G57" s="67">
        <f t="shared" ref="G57" si="47">IF(E54&lt;0.125,"NA",IF(0.125&lt;=E54,(0.8*E54)))</f>
        <v>0.1928</v>
      </c>
      <c r="H57" s="68"/>
      <c r="I57" s="69"/>
      <c r="J57" s="70">
        <v>0.18099999999999999</v>
      </c>
      <c r="K57" s="191"/>
      <c r="L57" s="191"/>
      <c r="M57" s="191"/>
      <c r="N57" s="191"/>
      <c r="O57" s="191"/>
      <c r="P57" s="196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s="60" customFormat="1" ht="13.5" customHeight="1" thickBot="1" x14ac:dyDescent="0.3">
      <c r="A58" s="52"/>
      <c r="B58" s="212"/>
      <c r="C58" s="192"/>
      <c r="D58" s="192"/>
      <c r="E58" s="192"/>
      <c r="F58" s="71" t="s">
        <v>83</v>
      </c>
      <c r="G58" s="72">
        <f t="shared" ref="G58" si="48">+E54</f>
        <v>0.24099999999999999</v>
      </c>
      <c r="H58" s="73"/>
      <c r="I58" s="74"/>
      <c r="J58" s="75">
        <v>0.27300000000000002</v>
      </c>
      <c r="K58" s="192"/>
      <c r="L58" s="192"/>
      <c r="M58" s="192"/>
      <c r="N58" s="192"/>
      <c r="O58" s="192"/>
      <c r="P58" s="197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60" customFormat="1" ht="13.5" customHeight="1" x14ac:dyDescent="0.25">
      <c r="A59" s="52"/>
      <c r="B59" s="210">
        <v>9</v>
      </c>
      <c r="C59" s="213">
        <f>+C54+0.3</f>
        <v>3.4999999999999996</v>
      </c>
      <c r="D59" s="190">
        <v>4.1000000000000002E-2</v>
      </c>
      <c r="E59" s="190">
        <v>0.16500000000000001</v>
      </c>
      <c r="F59" s="61" t="s">
        <v>79</v>
      </c>
      <c r="G59" s="62">
        <v>0</v>
      </c>
      <c r="H59" s="63"/>
      <c r="I59" s="64"/>
      <c r="J59" s="65">
        <v>0.10100000000000001</v>
      </c>
      <c r="K59" s="190">
        <f t="shared" ref="K59" si="49">+IF(E59&lt;=0.12,(J61),(IF(E59&lt;0.16,((J60+2*J61+J62)/4),IF(E59&gt;=0.16,((J59+3*J60+2*J61+3*J62+J63)/10)))))</f>
        <v>0.23029999999999995</v>
      </c>
      <c r="L59" s="190">
        <f>ROUND(+(D54+D59)/2*(C59-C54),3)</f>
        <v>3.4000000000000002E-2</v>
      </c>
      <c r="M59" s="190">
        <f t="shared" ref="M59" si="50">ROUND(+K59*L59,4)</f>
        <v>7.7999999999999996E-3</v>
      </c>
      <c r="N59" s="193">
        <f t="shared" ref="N59" si="51">ROUND(+M59/$M$83*100,2)</f>
        <v>2.56</v>
      </c>
      <c r="O59" s="194"/>
      <c r="P59" s="195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s="60" customFormat="1" ht="13.5" customHeight="1" x14ac:dyDescent="0.25">
      <c r="A60" s="52"/>
      <c r="B60" s="211"/>
      <c r="C60" s="191"/>
      <c r="D60" s="191"/>
      <c r="E60" s="191"/>
      <c r="F60" s="66" t="s">
        <v>80</v>
      </c>
      <c r="G60" s="67">
        <f t="shared" ref="G60" si="52">IF(E59&lt;0.125,"NA",IF(0.125&lt;=E59,(0.2*E59)))</f>
        <v>3.3000000000000002E-2</v>
      </c>
      <c r="H60" s="68"/>
      <c r="I60" s="69"/>
      <c r="J60" s="70">
        <v>0.17899999999999999</v>
      </c>
      <c r="K60" s="191"/>
      <c r="L60" s="191"/>
      <c r="M60" s="191"/>
      <c r="N60" s="191"/>
      <c r="O60" s="191"/>
      <c r="P60" s="196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s="60" customFormat="1" ht="13.5" customHeight="1" x14ac:dyDescent="0.25">
      <c r="A61" s="52"/>
      <c r="B61" s="211"/>
      <c r="C61" s="191"/>
      <c r="D61" s="191"/>
      <c r="E61" s="191"/>
      <c r="F61" s="66" t="s">
        <v>81</v>
      </c>
      <c r="G61" s="67">
        <f t="shared" ref="G61" si="53">+E59*0.4</f>
        <v>6.6000000000000003E-2</v>
      </c>
      <c r="H61" s="68"/>
      <c r="I61" s="69"/>
      <c r="J61" s="70">
        <v>0.24399999999999999</v>
      </c>
      <c r="K61" s="191"/>
      <c r="L61" s="191"/>
      <c r="M61" s="191"/>
      <c r="N61" s="191"/>
      <c r="O61" s="191"/>
      <c r="P61" s="196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s="60" customFormat="1" ht="13.5" customHeight="1" x14ac:dyDescent="0.25">
      <c r="A62" s="52"/>
      <c r="B62" s="211"/>
      <c r="C62" s="191"/>
      <c r="D62" s="191"/>
      <c r="E62" s="191"/>
      <c r="F62" s="66" t="s">
        <v>82</v>
      </c>
      <c r="G62" s="67">
        <f t="shared" ref="G62" si="54">IF(E59&lt;0.125,"NA",IF(0.125&lt;=E59,(0.8*E59)))</f>
        <v>0.13200000000000001</v>
      </c>
      <c r="H62" s="68"/>
      <c r="I62" s="69"/>
      <c r="J62" s="70">
        <v>0.29799999999999999</v>
      </c>
      <c r="K62" s="191"/>
      <c r="L62" s="191"/>
      <c r="M62" s="191"/>
      <c r="N62" s="191"/>
      <c r="O62" s="191"/>
      <c r="P62" s="196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s="60" customFormat="1" ht="13.5" customHeight="1" thickBot="1" x14ac:dyDescent="0.3">
      <c r="A63" s="52"/>
      <c r="B63" s="212"/>
      <c r="C63" s="192"/>
      <c r="D63" s="192"/>
      <c r="E63" s="192"/>
      <c r="F63" s="71" t="s">
        <v>83</v>
      </c>
      <c r="G63" s="72">
        <f t="shared" ref="G63" si="55">+E59</f>
        <v>0.16500000000000001</v>
      </c>
      <c r="H63" s="73"/>
      <c r="I63" s="74"/>
      <c r="J63" s="75">
        <v>0.28299999999999997</v>
      </c>
      <c r="K63" s="192"/>
      <c r="L63" s="192"/>
      <c r="M63" s="192"/>
      <c r="N63" s="192"/>
      <c r="O63" s="192"/>
      <c r="P63" s="197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s="3" customFormat="1" ht="14.1" customHeight="1" x14ac:dyDescent="0.2">
      <c r="B64" s="198" t="s">
        <v>29</v>
      </c>
      <c r="C64" s="201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</row>
    <row r="65" spans="1:26" s="3" customFormat="1" ht="14.1" customHeight="1" x14ac:dyDescent="0.2">
      <c r="B65" s="199"/>
      <c r="C65" s="204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</row>
    <row r="66" spans="1:26" s="3" customFormat="1" ht="14.1" customHeight="1" x14ac:dyDescent="0.2">
      <c r="B66" s="199"/>
      <c r="C66" s="204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6"/>
    </row>
    <row r="67" spans="1:26" s="3" customFormat="1" ht="14.1" customHeight="1" x14ac:dyDescent="0.2">
      <c r="B67" s="199"/>
      <c r="C67" s="204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6"/>
    </row>
    <row r="68" spans="1:26" s="3" customFormat="1" ht="14.1" customHeight="1" x14ac:dyDescent="0.2">
      <c r="B68" s="199"/>
      <c r="C68" s="204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6"/>
    </row>
    <row r="69" spans="1:26" s="3" customFormat="1" ht="14.1" customHeight="1" thickBot="1" x14ac:dyDescent="0.25">
      <c r="B69" s="200"/>
      <c r="C69" s="207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9"/>
    </row>
    <row r="70" spans="1:26" s="3" customFormat="1" ht="28.5" customHeight="1" thickBot="1" x14ac:dyDescent="0.25">
      <c r="A70" s="76"/>
      <c r="B70" s="77" t="s">
        <v>84</v>
      </c>
      <c r="C70" s="177" t="s">
        <v>85</v>
      </c>
      <c r="D70" s="177"/>
      <c r="E70" s="177"/>
      <c r="F70" s="177"/>
      <c r="G70" s="177"/>
      <c r="H70" s="178"/>
      <c r="I70" s="179"/>
      <c r="J70" s="77" t="s">
        <v>86</v>
      </c>
      <c r="K70" s="177" t="s">
        <v>87</v>
      </c>
      <c r="L70" s="177"/>
      <c r="M70" s="177"/>
      <c r="N70" s="177"/>
      <c r="O70" s="177"/>
      <c r="P70" s="178"/>
    </row>
    <row r="71" spans="1:26" s="3" customFormat="1" ht="28.5" customHeight="1" thickBot="1" x14ac:dyDescent="0.25">
      <c r="B71" s="78" t="s">
        <v>88</v>
      </c>
      <c r="C71" s="181" t="s">
        <v>89</v>
      </c>
      <c r="D71" s="181"/>
      <c r="E71" s="181"/>
      <c r="F71" s="181"/>
      <c r="G71" s="181"/>
      <c r="H71" s="182"/>
      <c r="I71" s="180"/>
      <c r="J71" s="78" t="s">
        <v>90</v>
      </c>
      <c r="K71" s="181" t="s">
        <v>91</v>
      </c>
      <c r="L71" s="181"/>
      <c r="M71" s="181"/>
      <c r="N71" s="181"/>
      <c r="O71" s="181"/>
      <c r="P71" s="182"/>
    </row>
    <row r="72" spans="1:26" s="19" customFormat="1" ht="13.5" customHeight="1" x14ac:dyDescent="0.25">
      <c r="A72" s="79"/>
      <c r="B72" s="183">
        <f>+B34</f>
        <v>4</v>
      </c>
      <c r="C72" s="186">
        <f>+C29</f>
        <v>1.2000000000000002</v>
      </c>
      <c r="D72" s="188">
        <f>+D29</f>
        <v>0.51700000000000002</v>
      </c>
      <c r="E72" s="188">
        <f>+E34</f>
        <v>0.56599999999999995</v>
      </c>
      <c r="F72" s="80" t="s">
        <v>79</v>
      </c>
      <c r="G72" s="80">
        <v>0.01</v>
      </c>
      <c r="H72" s="81"/>
      <c r="I72" s="82"/>
      <c r="J72" s="83">
        <v>0.115</v>
      </c>
      <c r="K72" s="189">
        <f>+AVERAGE(J72:J82)</f>
        <v>0.27172727272727271</v>
      </c>
      <c r="L72" s="168">
        <f>ROUND(+(D72+D77)/2*(C77-C72),3)</f>
        <v>0.216</v>
      </c>
      <c r="M72" s="171">
        <f>ROUND(+K72*L72,4)</f>
        <v>5.8700000000000002E-2</v>
      </c>
      <c r="N72" s="168">
        <f>ROUND(+M72/$M$83*100,2)</f>
        <v>19.23</v>
      </c>
      <c r="O72" s="168"/>
      <c r="P72" s="172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s="19" customFormat="1" ht="13.5" customHeight="1" x14ac:dyDescent="0.25">
      <c r="A73" s="79"/>
      <c r="B73" s="184"/>
      <c r="C73" s="169"/>
      <c r="D73" s="169"/>
      <c r="E73" s="169"/>
      <c r="F73" s="85" t="s">
        <v>92</v>
      </c>
      <c r="G73" s="86">
        <f>+E72*0.1</f>
        <v>5.6599999999999998E-2</v>
      </c>
      <c r="H73" s="87"/>
      <c r="I73" s="88"/>
      <c r="J73" s="89">
        <v>0.14699999999999999</v>
      </c>
      <c r="K73" s="169"/>
      <c r="L73" s="169"/>
      <c r="M73" s="169"/>
      <c r="N73" s="169"/>
      <c r="O73" s="169"/>
      <c r="P73" s="173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s="19" customFormat="1" ht="13.5" customHeight="1" x14ac:dyDescent="0.25">
      <c r="A74" s="79"/>
      <c r="B74" s="184"/>
      <c r="C74" s="169"/>
      <c r="D74" s="169"/>
      <c r="E74" s="169"/>
      <c r="F74" s="85" t="s">
        <v>93</v>
      </c>
      <c r="G74" s="86">
        <f>+E72*0.2</f>
        <v>0.1132</v>
      </c>
      <c r="H74" s="87"/>
      <c r="I74" s="88"/>
      <c r="J74" s="89">
        <v>0.20699999999999999</v>
      </c>
      <c r="K74" s="169"/>
      <c r="L74" s="169"/>
      <c r="M74" s="169"/>
      <c r="N74" s="169"/>
      <c r="O74" s="169"/>
      <c r="P74" s="173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s="19" customFormat="1" ht="13.5" customHeight="1" x14ac:dyDescent="0.25">
      <c r="A75" s="79"/>
      <c r="B75" s="184"/>
      <c r="C75" s="169"/>
      <c r="D75" s="169"/>
      <c r="E75" s="169"/>
      <c r="F75" s="85" t="s">
        <v>94</v>
      </c>
      <c r="G75" s="86">
        <f>+E72*0.3</f>
        <v>0.16979999999999998</v>
      </c>
      <c r="H75" s="87"/>
      <c r="I75" s="88"/>
      <c r="J75" s="89">
        <v>0.24099999999999999</v>
      </c>
      <c r="K75" s="169"/>
      <c r="L75" s="169"/>
      <c r="M75" s="169"/>
      <c r="N75" s="169"/>
      <c r="O75" s="169"/>
      <c r="P75" s="173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s="19" customFormat="1" ht="13.5" customHeight="1" x14ac:dyDescent="0.25">
      <c r="A76" s="79"/>
      <c r="B76" s="184"/>
      <c r="C76" s="187"/>
      <c r="D76" s="187"/>
      <c r="E76" s="169"/>
      <c r="F76" s="85" t="s">
        <v>95</v>
      </c>
      <c r="G76" s="86">
        <f>+E72*0.4</f>
        <v>0.22639999999999999</v>
      </c>
      <c r="H76" s="87"/>
      <c r="I76" s="88"/>
      <c r="J76" s="89">
        <v>0.29799999999999999</v>
      </c>
      <c r="K76" s="169"/>
      <c r="L76" s="169"/>
      <c r="M76" s="169"/>
      <c r="N76" s="169"/>
      <c r="O76" s="169"/>
      <c r="P76" s="173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s="19" customFormat="1" ht="13.5" customHeight="1" x14ac:dyDescent="0.25">
      <c r="A77" s="79"/>
      <c r="B77" s="184"/>
      <c r="C77" s="175">
        <f>+C34</f>
        <v>1.6</v>
      </c>
      <c r="D77" s="176">
        <f>+D34</f>
        <v>0.56299999999999994</v>
      </c>
      <c r="E77" s="169"/>
      <c r="F77" s="85" t="s">
        <v>30</v>
      </c>
      <c r="G77" s="86">
        <f>+E72*0.5</f>
        <v>0.28299999999999997</v>
      </c>
      <c r="H77" s="87"/>
      <c r="I77" s="88"/>
      <c r="J77" s="89">
        <v>0.16300000000000001</v>
      </c>
      <c r="K77" s="169"/>
      <c r="L77" s="169"/>
      <c r="M77" s="169"/>
      <c r="N77" s="169"/>
      <c r="O77" s="169"/>
      <c r="P77" s="173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s="19" customFormat="1" ht="13.5" customHeight="1" x14ac:dyDescent="0.25">
      <c r="A78" s="79"/>
      <c r="B78" s="184"/>
      <c r="C78" s="169"/>
      <c r="D78" s="169"/>
      <c r="E78" s="169"/>
      <c r="F78" s="85" t="s">
        <v>96</v>
      </c>
      <c r="G78" s="86">
        <f>+E72*0.6</f>
        <v>0.33959999999999996</v>
      </c>
      <c r="H78" s="87"/>
      <c r="I78" s="88"/>
      <c r="J78" s="89">
        <v>0.26</v>
      </c>
      <c r="K78" s="169"/>
      <c r="L78" s="169"/>
      <c r="M78" s="169"/>
      <c r="N78" s="169"/>
      <c r="O78" s="169"/>
      <c r="P78" s="173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s="19" customFormat="1" ht="13.5" customHeight="1" x14ac:dyDescent="0.25">
      <c r="A79" s="79"/>
      <c r="B79" s="184"/>
      <c r="C79" s="169"/>
      <c r="D79" s="169"/>
      <c r="E79" s="169"/>
      <c r="F79" s="85" t="s">
        <v>97</v>
      </c>
      <c r="G79" s="86">
        <f>+E72*0.7</f>
        <v>0.39619999999999994</v>
      </c>
      <c r="H79" s="87"/>
      <c r="I79" s="88"/>
      <c r="J79" s="89">
        <v>0.28499999999999998</v>
      </c>
      <c r="K79" s="169"/>
      <c r="L79" s="169"/>
      <c r="M79" s="169"/>
      <c r="N79" s="169"/>
      <c r="O79" s="169"/>
      <c r="P79" s="173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s="19" customFormat="1" ht="13.5" customHeight="1" x14ac:dyDescent="0.25">
      <c r="A80" s="79"/>
      <c r="B80" s="184"/>
      <c r="C80" s="169"/>
      <c r="D80" s="169"/>
      <c r="E80" s="169"/>
      <c r="F80" s="85" t="s">
        <v>98</v>
      </c>
      <c r="G80" s="86">
        <f>+E72*0.8</f>
        <v>0.45279999999999998</v>
      </c>
      <c r="H80" s="87"/>
      <c r="I80" s="88"/>
      <c r="J80" s="89">
        <v>0.42599999999999999</v>
      </c>
      <c r="K80" s="169"/>
      <c r="L80" s="169"/>
      <c r="M80" s="169"/>
      <c r="N80" s="169"/>
      <c r="O80" s="169"/>
      <c r="P80" s="173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s="19" customFormat="1" ht="13.5" customHeight="1" x14ac:dyDescent="0.25">
      <c r="A81" s="79"/>
      <c r="B81" s="184"/>
      <c r="C81" s="169"/>
      <c r="D81" s="169"/>
      <c r="E81" s="169"/>
      <c r="F81" s="85" t="s">
        <v>99</v>
      </c>
      <c r="G81" s="86">
        <f>+E72*0.9</f>
        <v>0.50939999999999996</v>
      </c>
      <c r="H81" s="87"/>
      <c r="I81" s="88"/>
      <c r="J81" s="89">
        <v>0.39</v>
      </c>
      <c r="K81" s="169"/>
      <c r="L81" s="169"/>
      <c r="M81" s="169"/>
      <c r="N81" s="169"/>
      <c r="O81" s="169"/>
      <c r="P81" s="173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s="19" customFormat="1" ht="15.75" thickBot="1" x14ac:dyDescent="0.3">
      <c r="A82" s="79"/>
      <c r="B82" s="185"/>
      <c r="C82" s="170"/>
      <c r="D82" s="170"/>
      <c r="E82" s="170"/>
      <c r="F82" s="90" t="s">
        <v>31</v>
      </c>
      <c r="G82" s="90">
        <f>+E72</f>
        <v>0.56599999999999995</v>
      </c>
      <c r="H82" s="91"/>
      <c r="I82" s="92"/>
      <c r="J82" s="93">
        <v>0.45700000000000002</v>
      </c>
      <c r="K82" s="170"/>
      <c r="L82" s="170"/>
      <c r="M82" s="170"/>
      <c r="N82" s="170"/>
      <c r="O82" s="170"/>
      <c r="P82" s="17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s="3" customFormat="1" ht="12.75" x14ac:dyDescent="0.2">
      <c r="A83" s="11"/>
      <c r="B83" s="156" t="s">
        <v>32</v>
      </c>
      <c r="C83" s="156"/>
      <c r="D83" s="156"/>
      <c r="E83" s="156"/>
      <c r="F83" s="156"/>
      <c r="G83" s="156"/>
      <c r="H83" s="156"/>
      <c r="I83" s="156"/>
      <c r="J83" s="156"/>
      <c r="K83" s="12">
        <f>ROUND(+M83/L83,3)</f>
        <v>0.219</v>
      </c>
      <c r="L83" s="16">
        <f>SUM(L19:L82)</f>
        <v>1.3960000000000001</v>
      </c>
      <c r="M83" s="15">
        <f>SUM(M19:M82)</f>
        <v>0.30520000000000003</v>
      </c>
      <c r="N83" s="13">
        <f>ROUND(SUM(N19:N82),0)</f>
        <v>100</v>
      </c>
      <c r="O83" s="158" t="s">
        <v>33</v>
      </c>
      <c r="P83" s="160"/>
    </row>
    <row r="84" spans="1:26" s="3" customFormat="1" ht="15" customHeight="1" thickBot="1" x14ac:dyDescent="0.25">
      <c r="A84" s="11"/>
      <c r="B84" s="157"/>
      <c r="C84" s="157"/>
      <c r="D84" s="157"/>
      <c r="E84" s="157"/>
      <c r="F84" s="157"/>
      <c r="G84" s="157"/>
      <c r="H84" s="157"/>
      <c r="I84" s="157"/>
      <c r="J84" s="157"/>
      <c r="K84" s="14" t="s">
        <v>34</v>
      </c>
      <c r="L84" s="14" t="s">
        <v>50</v>
      </c>
      <c r="M84" s="14" t="s">
        <v>51</v>
      </c>
      <c r="N84" s="14" t="s">
        <v>35</v>
      </c>
      <c r="O84" s="159"/>
      <c r="P84" s="161"/>
    </row>
    <row r="85" spans="1:26" ht="15" customHeight="1" thickBot="1" x14ac:dyDescent="0.3">
      <c r="A85" s="5"/>
      <c r="B85" s="162" t="s">
        <v>100</v>
      </c>
      <c r="C85" s="163"/>
      <c r="D85" s="163"/>
      <c r="E85" s="163"/>
      <c r="F85" s="164"/>
      <c r="G85" s="162" t="s">
        <v>101</v>
      </c>
      <c r="H85" s="163"/>
      <c r="I85" s="163"/>
      <c r="J85" s="163"/>
      <c r="K85" s="164"/>
      <c r="L85" s="165" t="s">
        <v>53</v>
      </c>
      <c r="M85" s="166"/>
      <c r="N85" s="166"/>
      <c r="O85" s="166"/>
      <c r="P85" s="167"/>
    </row>
    <row r="86" spans="1:26" ht="15" customHeight="1" x14ac:dyDescent="0.25">
      <c r="A86" s="5"/>
      <c r="B86" s="126"/>
      <c r="C86" s="127"/>
      <c r="D86" s="127"/>
      <c r="E86" s="127"/>
      <c r="F86" s="128"/>
      <c r="G86" s="126"/>
      <c r="H86" s="127"/>
      <c r="I86" s="127"/>
      <c r="J86" s="127"/>
      <c r="K86" s="128"/>
      <c r="L86" s="135" t="s">
        <v>102</v>
      </c>
      <c r="M86" s="136"/>
      <c r="N86" s="136"/>
      <c r="O86" s="137">
        <f>+AVERAGE(E18:E63)</f>
        <v>0.377</v>
      </c>
      <c r="P86" s="138"/>
    </row>
    <row r="87" spans="1:26" ht="15" customHeight="1" thickBot="1" x14ac:dyDescent="0.3">
      <c r="A87" s="5"/>
      <c r="B87" s="129"/>
      <c r="C87" s="130"/>
      <c r="D87" s="130"/>
      <c r="E87" s="130"/>
      <c r="F87" s="131"/>
      <c r="G87" s="129"/>
      <c r="H87" s="130"/>
      <c r="I87" s="130"/>
      <c r="J87" s="130"/>
      <c r="K87" s="131"/>
      <c r="L87" s="139" t="s">
        <v>103</v>
      </c>
      <c r="M87" s="140"/>
      <c r="N87" s="140"/>
      <c r="O87" s="305">
        <f>+MAX(E18:E63)</f>
        <v>0.56599999999999995</v>
      </c>
      <c r="P87" s="306"/>
    </row>
    <row r="88" spans="1:26" ht="18.600000000000001" customHeight="1" x14ac:dyDescent="0.25">
      <c r="A88" s="6"/>
      <c r="B88" s="129"/>
      <c r="C88" s="130"/>
      <c r="D88" s="130"/>
      <c r="E88" s="130"/>
      <c r="F88" s="131"/>
      <c r="G88" s="129"/>
      <c r="H88" s="130"/>
      <c r="I88" s="130"/>
      <c r="J88" s="130"/>
      <c r="K88" s="131"/>
      <c r="L88" s="143" t="s">
        <v>117</v>
      </c>
      <c r="M88" s="144"/>
      <c r="N88" s="144"/>
      <c r="O88" s="144"/>
      <c r="P88" s="145"/>
    </row>
    <row r="89" spans="1:26" ht="57" customHeight="1" x14ac:dyDescent="0.25">
      <c r="A89" s="10"/>
      <c r="B89" s="129"/>
      <c r="C89" s="130"/>
      <c r="D89" s="130"/>
      <c r="E89" s="130"/>
      <c r="F89" s="131"/>
      <c r="G89" s="129"/>
      <c r="H89" s="130"/>
      <c r="I89" s="130"/>
      <c r="J89" s="130"/>
      <c r="K89" s="131"/>
      <c r="L89" s="146"/>
      <c r="M89" s="147"/>
      <c r="N89" s="147"/>
      <c r="O89" s="147"/>
      <c r="P89" s="148"/>
    </row>
    <row r="90" spans="1:26" ht="15" customHeight="1" thickBot="1" x14ac:dyDescent="0.3">
      <c r="A90" s="5"/>
      <c r="B90" s="129"/>
      <c r="C90" s="130"/>
      <c r="D90" s="130"/>
      <c r="E90" s="130"/>
      <c r="F90" s="131"/>
      <c r="G90" s="129"/>
      <c r="H90" s="130"/>
      <c r="I90" s="130"/>
      <c r="J90" s="130"/>
      <c r="K90" s="131"/>
      <c r="L90" s="149"/>
      <c r="M90" s="150"/>
      <c r="N90" s="150"/>
      <c r="O90" s="150"/>
      <c r="P90" s="151"/>
    </row>
    <row r="91" spans="1:26" ht="22.5" customHeight="1" thickBot="1" x14ac:dyDescent="0.3">
      <c r="A91" s="5"/>
      <c r="B91" s="129"/>
      <c r="C91" s="130"/>
      <c r="D91" s="130"/>
      <c r="E91" s="130"/>
      <c r="F91" s="131"/>
      <c r="G91" s="129"/>
      <c r="H91" s="130"/>
      <c r="I91" s="130"/>
      <c r="J91" s="130"/>
      <c r="K91" s="131"/>
      <c r="L91" s="152" t="s">
        <v>36</v>
      </c>
      <c r="M91" s="153"/>
      <c r="N91" s="153"/>
      <c r="O91" s="153"/>
      <c r="P91" s="97">
        <v>11.49</v>
      </c>
    </row>
    <row r="92" spans="1:26" ht="32.25" customHeight="1" thickBot="1" x14ac:dyDescent="0.3">
      <c r="A92" s="5"/>
      <c r="B92" s="132"/>
      <c r="C92" s="133"/>
      <c r="D92" s="133"/>
      <c r="E92" s="133"/>
      <c r="F92" s="134"/>
      <c r="G92" s="132"/>
      <c r="H92" s="133"/>
      <c r="I92" s="133"/>
      <c r="J92" s="133"/>
      <c r="K92" s="134"/>
      <c r="L92" s="154" t="s">
        <v>52</v>
      </c>
      <c r="M92" s="155"/>
      <c r="N92" s="155"/>
      <c r="O92" s="155"/>
      <c r="P92" s="97">
        <v>0.26069999999999999</v>
      </c>
    </row>
    <row r="93" spans="1:26" ht="23.45" customHeight="1" thickBot="1" x14ac:dyDescent="0.3">
      <c r="A93" s="7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</row>
    <row r="94" spans="1:26" ht="15.75" thickBot="1" x14ac:dyDescent="0.3">
      <c r="A94" s="116" t="s">
        <v>37</v>
      </c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8"/>
    </row>
    <row r="95" spans="1:26" ht="159" customHeight="1" thickBot="1" x14ac:dyDescent="0.3">
      <c r="A95" s="4"/>
      <c r="B95" s="119"/>
      <c r="C95" s="120"/>
      <c r="D95" s="120"/>
      <c r="E95" s="120"/>
      <c r="F95" s="121"/>
      <c r="G95" s="119"/>
      <c r="H95" s="120"/>
      <c r="I95" s="120"/>
      <c r="J95" s="120"/>
      <c r="K95" s="121"/>
      <c r="L95" s="119"/>
      <c r="M95" s="120"/>
      <c r="N95" s="120"/>
      <c r="O95" s="120"/>
      <c r="P95" s="122"/>
    </row>
    <row r="96" spans="1:26" ht="21.75" customHeight="1" thickBot="1" x14ac:dyDescent="0.3">
      <c r="A96" s="4"/>
      <c r="B96" s="123" t="s">
        <v>118</v>
      </c>
      <c r="C96" s="124"/>
      <c r="D96" s="124"/>
      <c r="E96" s="124"/>
      <c r="F96" s="125"/>
      <c r="G96" s="302" t="s">
        <v>105</v>
      </c>
      <c r="H96" s="303"/>
      <c r="I96" s="303"/>
      <c r="J96" s="303"/>
      <c r="K96" s="303"/>
      <c r="L96" s="303"/>
      <c r="M96" s="303"/>
      <c r="N96" s="303"/>
      <c r="O96" s="303"/>
      <c r="P96" s="304"/>
    </row>
    <row r="97" spans="1:16" s="9" customFormat="1" ht="16.899999999999999" customHeight="1" thickBot="1" x14ac:dyDescent="0.3">
      <c r="A97" s="8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1"/>
    </row>
    <row r="98" spans="1:16" s="3" customFormat="1" ht="15.75" customHeight="1" thickBot="1" x14ac:dyDescent="0.25">
      <c r="A98" s="112" t="s">
        <v>38</v>
      </c>
      <c r="B98" s="113"/>
      <c r="C98" s="113"/>
      <c r="D98" s="113"/>
      <c r="E98" s="113"/>
      <c r="F98" s="113"/>
      <c r="G98" s="113"/>
      <c r="H98" s="113"/>
      <c r="I98" s="113"/>
      <c r="J98" s="113" t="s">
        <v>39</v>
      </c>
      <c r="K98" s="113"/>
      <c r="L98" s="113"/>
      <c r="M98" s="113"/>
      <c r="N98" s="113"/>
      <c r="O98" s="113"/>
      <c r="P98" s="114"/>
    </row>
  </sheetData>
  <mergeCells count="19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9:M63"/>
    <mergeCell ref="N59:N63"/>
    <mergeCell ref="O59:O63"/>
    <mergeCell ref="P59:P63"/>
    <mergeCell ref="B64:B69"/>
    <mergeCell ref="C64:P69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C70:H70"/>
    <mergeCell ref="I70:I71"/>
    <mergeCell ref="K70:P70"/>
    <mergeCell ref="C71:H71"/>
    <mergeCell ref="K71:P71"/>
    <mergeCell ref="B72:B82"/>
    <mergeCell ref="C72:C76"/>
    <mergeCell ref="D72:D76"/>
    <mergeCell ref="E72:E82"/>
    <mergeCell ref="K72:K82"/>
    <mergeCell ref="B83:J84"/>
    <mergeCell ref="O83:O84"/>
    <mergeCell ref="P83:P84"/>
    <mergeCell ref="B85:F85"/>
    <mergeCell ref="G85:K85"/>
    <mergeCell ref="L85:P85"/>
    <mergeCell ref="L72:L82"/>
    <mergeCell ref="M72:M82"/>
    <mergeCell ref="N72:N82"/>
    <mergeCell ref="O72:O82"/>
    <mergeCell ref="P72:P82"/>
    <mergeCell ref="C77:C82"/>
    <mergeCell ref="D77:D82"/>
    <mergeCell ref="B86:F92"/>
    <mergeCell ref="G86:K92"/>
    <mergeCell ref="L86:N86"/>
    <mergeCell ref="O86:P86"/>
    <mergeCell ref="L87:N87"/>
    <mergeCell ref="O87:P87"/>
    <mergeCell ref="L88:P90"/>
    <mergeCell ref="L91:O91"/>
    <mergeCell ref="L92:O92"/>
    <mergeCell ref="B97:P97"/>
    <mergeCell ref="A98:C98"/>
    <mergeCell ref="D98:I98"/>
    <mergeCell ref="J98:K98"/>
    <mergeCell ref="L98:P98"/>
    <mergeCell ref="B93:P93"/>
    <mergeCell ref="A94:P94"/>
    <mergeCell ref="B95:F95"/>
    <mergeCell ref="G95:K95"/>
    <mergeCell ref="L95:P95"/>
    <mergeCell ref="B96:F96"/>
    <mergeCell ref="G96:P9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"/>
  <sheetViews>
    <sheetView view="pageBreakPreview" topLeftCell="E1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0"/>
      <c r="B2" s="311"/>
      <c r="C2" s="312"/>
      <c r="D2" s="313"/>
      <c r="E2" s="314" t="s">
        <v>121</v>
      </c>
      <c r="F2" s="315"/>
      <c r="G2" s="315"/>
      <c r="H2" s="315"/>
      <c r="I2" s="315"/>
      <c r="J2" s="315"/>
      <c r="K2" s="315"/>
      <c r="L2" s="315"/>
      <c r="M2" s="315"/>
      <c r="N2" s="315"/>
      <c r="O2" s="316"/>
      <c r="P2" s="317"/>
    </row>
    <row r="3" spans="1:26" s="2" customFormat="1" ht="22.5" customHeight="1" thickBot="1" x14ac:dyDescent="0.3">
      <c r="A3" s="310"/>
      <c r="B3" s="318"/>
      <c r="C3" s="319"/>
      <c r="D3" s="320"/>
      <c r="E3" s="321"/>
      <c r="F3" s="322"/>
      <c r="G3" s="322"/>
      <c r="H3" s="322"/>
      <c r="I3" s="322"/>
      <c r="J3" s="322"/>
      <c r="K3" s="322"/>
      <c r="L3" s="322"/>
      <c r="M3" s="322"/>
      <c r="N3" s="322"/>
      <c r="O3" s="323"/>
      <c r="P3" s="324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43109</v>
      </c>
      <c r="D5" s="298"/>
      <c r="E5" s="22" t="s">
        <v>1</v>
      </c>
      <c r="F5" s="23">
        <v>3</v>
      </c>
      <c r="G5" s="24" t="s">
        <v>2</v>
      </c>
      <c r="H5" s="299" t="s">
        <v>122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119</v>
      </c>
      <c r="E6" s="283"/>
      <c r="F6" s="283"/>
      <c r="G6" s="283"/>
      <c r="H6" s="283"/>
      <c r="I6" s="284"/>
      <c r="J6" s="28" t="s">
        <v>4</v>
      </c>
      <c r="K6" s="285" t="s">
        <v>114</v>
      </c>
      <c r="L6" s="284"/>
      <c r="M6" s="285" t="s">
        <v>115</v>
      </c>
      <c r="N6" s="286"/>
      <c r="O6" s="29" t="s">
        <v>54</v>
      </c>
      <c r="P6" s="30">
        <v>1631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42" t="s">
        <v>5</v>
      </c>
      <c r="K9" s="269" t="s">
        <v>64</v>
      </c>
      <c r="L9" s="273"/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38" t="s">
        <v>5</v>
      </c>
      <c r="G10" s="212"/>
      <c r="H10" s="253" t="s">
        <v>10</v>
      </c>
      <c r="I10" s="248"/>
      <c r="J10" s="39"/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0.60069444444444442</v>
      </c>
      <c r="F11" s="256" t="s">
        <v>12</v>
      </c>
      <c r="G11" s="255"/>
      <c r="H11" s="41">
        <v>1.27</v>
      </c>
      <c r="I11" s="257" t="s">
        <v>13</v>
      </c>
      <c r="J11" s="258"/>
      <c r="K11" s="41">
        <v>19</v>
      </c>
      <c r="L11" s="254" t="s">
        <v>14</v>
      </c>
      <c r="M11" s="255"/>
      <c r="N11" s="42">
        <v>3.51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0.64236111111111105</v>
      </c>
      <c r="F12" s="249" t="s">
        <v>16</v>
      </c>
      <c r="G12" s="248"/>
      <c r="H12" s="41">
        <v>1.29</v>
      </c>
      <c r="I12" s="250" t="s">
        <v>17</v>
      </c>
      <c r="J12" s="248"/>
      <c r="K12" s="40">
        <v>0.60416666666666663</v>
      </c>
      <c r="L12" s="247" t="s">
        <v>18</v>
      </c>
      <c r="M12" s="248"/>
      <c r="N12" s="43">
        <v>0.4</v>
      </c>
      <c r="O12" s="251">
        <v>0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 t="s">
        <v>70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77</v>
      </c>
      <c r="I16" s="228" t="s">
        <v>78</v>
      </c>
      <c r="J16" s="96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0"/>
      <c r="C17" s="222"/>
      <c r="D17" s="222"/>
      <c r="E17" s="222"/>
      <c r="F17" s="226"/>
      <c r="G17" s="227"/>
      <c r="H17" s="222"/>
      <c r="I17" s="229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0</v>
      </c>
      <c r="D18" s="54">
        <v>0.39</v>
      </c>
      <c r="E18" s="55"/>
      <c r="F18" s="56"/>
      <c r="G18" s="95"/>
      <c r="H18" s="57"/>
      <c r="I18" s="58"/>
      <c r="J18" s="94"/>
      <c r="K18" s="55"/>
      <c r="L18" s="55"/>
      <c r="M18" s="55"/>
      <c r="N18" s="55"/>
      <c r="O18" s="55"/>
      <c r="P18" s="59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0">
        <v>1</v>
      </c>
      <c r="C19" s="213">
        <f>+C18+$N$12</f>
        <v>0.4</v>
      </c>
      <c r="D19" s="190">
        <v>0.46500000000000002</v>
      </c>
      <c r="E19" s="190">
        <v>0.55000000000000004</v>
      </c>
      <c r="F19" s="61" t="s">
        <v>79</v>
      </c>
      <c r="G19" s="62">
        <v>0</v>
      </c>
      <c r="H19" s="63"/>
      <c r="I19" s="64"/>
      <c r="J19" s="65">
        <v>1.6875273999999999E-2</v>
      </c>
      <c r="K19" s="190">
        <f>+IF(E19&lt;=0.12,(J21),(IF(E19&lt;0.16,((J20+2*J21+J22)/4),IF(E19&gt;=0.16,((J19+3*J20+2*J21+3*J22+J23)/10)))))</f>
        <v>8.30743761E-2</v>
      </c>
      <c r="L19" s="190">
        <f>ROUND(+(D18+D19)/2*(C19-C18),3)</f>
        <v>0.17100000000000001</v>
      </c>
      <c r="M19" s="190">
        <f>ROUND(+K19*L19,4)</f>
        <v>1.4200000000000001E-2</v>
      </c>
      <c r="N19" s="193">
        <f>ROUND(+M19/$M$83*100,2)</f>
        <v>5.0599999999999996</v>
      </c>
      <c r="O19" s="194"/>
      <c r="P19" s="195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1"/>
      <c r="C20" s="191"/>
      <c r="D20" s="191"/>
      <c r="E20" s="191"/>
      <c r="F20" s="66" t="s">
        <v>80</v>
      </c>
      <c r="G20" s="67">
        <f>IF(E19&lt;0.125,"NA",IF(0.125&lt;=E19,(0.2*E19)))</f>
        <v>0.11000000000000001</v>
      </c>
      <c r="H20" s="68"/>
      <c r="I20" s="69"/>
      <c r="J20" s="70">
        <v>4.0688185000000002E-2</v>
      </c>
      <c r="K20" s="191"/>
      <c r="L20" s="191"/>
      <c r="M20" s="191"/>
      <c r="N20" s="191"/>
      <c r="O20" s="191"/>
      <c r="P20" s="196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1"/>
      <c r="C21" s="191"/>
      <c r="D21" s="191"/>
      <c r="E21" s="191"/>
      <c r="F21" s="66" t="s">
        <v>81</v>
      </c>
      <c r="G21" s="67">
        <f>+E19*0.4</f>
        <v>0.22000000000000003</v>
      </c>
      <c r="H21" s="68"/>
      <c r="I21" s="69"/>
      <c r="J21" s="70">
        <v>6.3319310000000004E-2</v>
      </c>
      <c r="K21" s="191"/>
      <c r="L21" s="191"/>
      <c r="M21" s="191"/>
      <c r="N21" s="191"/>
      <c r="O21" s="191"/>
      <c r="P21" s="196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1"/>
      <c r="C22" s="191"/>
      <c r="D22" s="191"/>
      <c r="E22" s="191"/>
      <c r="F22" s="66" t="s">
        <v>82</v>
      </c>
      <c r="G22" s="67">
        <f>IF(E19&lt;0.125,"NA",IF(0.125&lt;=E19,(0.8*E19)))</f>
        <v>0.44000000000000006</v>
      </c>
      <c r="H22" s="68"/>
      <c r="I22" s="69"/>
      <c r="J22" s="70">
        <v>8.5709396999999993E-2</v>
      </c>
      <c r="K22" s="191"/>
      <c r="L22" s="191"/>
      <c r="M22" s="191"/>
      <c r="N22" s="191"/>
      <c r="O22" s="191"/>
      <c r="P22" s="196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2"/>
      <c r="C23" s="192"/>
      <c r="D23" s="192"/>
      <c r="E23" s="192"/>
      <c r="F23" s="71" t="s">
        <v>83</v>
      </c>
      <c r="G23" s="72">
        <f>+E19</f>
        <v>0.55000000000000004</v>
      </c>
      <c r="H23" s="73"/>
      <c r="I23" s="74"/>
      <c r="J23" s="75">
        <v>0.30803712100000002</v>
      </c>
      <c r="K23" s="192"/>
      <c r="L23" s="192"/>
      <c r="M23" s="192"/>
      <c r="N23" s="192"/>
      <c r="O23" s="192"/>
      <c r="P23" s="197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0">
        <v>2</v>
      </c>
      <c r="C24" s="213">
        <f>+C19+$N$12</f>
        <v>0.8</v>
      </c>
      <c r="D24" s="190">
        <v>0.46500000000000002</v>
      </c>
      <c r="E24" s="190">
        <v>0.49</v>
      </c>
      <c r="F24" s="61" t="s">
        <v>79</v>
      </c>
      <c r="G24" s="62">
        <v>0</v>
      </c>
      <c r="H24" s="63"/>
      <c r="I24" s="64"/>
      <c r="J24" s="65">
        <v>4.36E-2</v>
      </c>
      <c r="K24" s="190">
        <f>+IF(E24&lt;=0.12,(J26),(IF(E24&lt;0.16,((J25+2*J26+J27)/4),IF(E24&gt;=0.16,((J24+3*J25+2*J26+3*J27+J28)/10)))))</f>
        <v>0.16719000000000001</v>
      </c>
      <c r="L24" s="190">
        <f>ROUND(+(D19+D24)/2*(C24-C19),3)</f>
        <v>0.186</v>
      </c>
      <c r="M24" s="190">
        <f>ROUND(+K24*L24,4)</f>
        <v>3.1099999999999999E-2</v>
      </c>
      <c r="N24" s="193">
        <f>ROUND(+M24/$M$83*100,2)</f>
        <v>11.08</v>
      </c>
      <c r="O24" s="194"/>
      <c r="P24" s="195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1"/>
      <c r="C25" s="191"/>
      <c r="D25" s="191"/>
      <c r="E25" s="191"/>
      <c r="F25" s="66" t="s">
        <v>80</v>
      </c>
      <c r="G25" s="67">
        <f t="shared" ref="G25" si="0">IF(E24&lt;0.125,"NA",IF(0.125&lt;=E24,(0.2*E24)))</f>
        <v>9.8000000000000004E-2</v>
      </c>
      <c r="H25" s="68"/>
      <c r="I25" s="69"/>
      <c r="J25" s="70">
        <v>8.8500000000000009E-2</v>
      </c>
      <c r="K25" s="191"/>
      <c r="L25" s="191"/>
      <c r="M25" s="191"/>
      <c r="N25" s="191"/>
      <c r="O25" s="191"/>
      <c r="P25" s="196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1"/>
      <c r="C26" s="191"/>
      <c r="D26" s="191"/>
      <c r="E26" s="191"/>
      <c r="F26" s="66" t="s">
        <v>81</v>
      </c>
      <c r="G26" s="67">
        <f t="shared" ref="G26" si="1">+E24*0.4</f>
        <v>0.19600000000000001</v>
      </c>
      <c r="H26" s="68"/>
      <c r="I26" s="69"/>
      <c r="J26" s="70">
        <v>0.127</v>
      </c>
      <c r="K26" s="191"/>
      <c r="L26" s="191"/>
      <c r="M26" s="191"/>
      <c r="N26" s="191"/>
      <c r="O26" s="191"/>
      <c r="P26" s="196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1"/>
      <c r="C27" s="191"/>
      <c r="D27" s="191"/>
      <c r="E27" s="191"/>
      <c r="F27" s="66" t="s">
        <v>82</v>
      </c>
      <c r="G27" s="67">
        <f t="shared" ref="G27" si="2">IF(E24&lt;0.125,"NA",IF(0.125&lt;=E24,(0.8*E24)))</f>
        <v>0.39200000000000002</v>
      </c>
      <c r="H27" s="68"/>
      <c r="I27" s="69"/>
      <c r="J27" s="70">
        <v>0.25030000000000002</v>
      </c>
      <c r="K27" s="191"/>
      <c r="L27" s="191"/>
      <c r="M27" s="191"/>
      <c r="N27" s="191"/>
      <c r="O27" s="191"/>
      <c r="P27" s="196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2"/>
      <c r="C28" s="192"/>
      <c r="D28" s="192"/>
      <c r="E28" s="192"/>
      <c r="F28" s="71" t="s">
        <v>83</v>
      </c>
      <c r="G28" s="72">
        <f t="shared" ref="G28" si="3">+E24</f>
        <v>0.49</v>
      </c>
      <c r="H28" s="73"/>
      <c r="I28" s="74"/>
      <c r="J28" s="75">
        <v>0.3579</v>
      </c>
      <c r="K28" s="192"/>
      <c r="L28" s="192"/>
      <c r="M28" s="192"/>
      <c r="N28" s="192"/>
      <c r="O28" s="192"/>
      <c r="P28" s="197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0">
        <v>3</v>
      </c>
      <c r="C29" s="213">
        <f>+C24+$N$12</f>
        <v>1.2000000000000002</v>
      </c>
      <c r="D29" s="190">
        <v>0.53</v>
      </c>
      <c r="E29" s="190">
        <v>0.51</v>
      </c>
      <c r="F29" s="61" t="s">
        <v>79</v>
      </c>
      <c r="G29" s="62">
        <v>0</v>
      </c>
      <c r="H29" s="63"/>
      <c r="I29" s="64"/>
      <c r="J29" s="65">
        <v>5.6105999999999996E-2</v>
      </c>
      <c r="K29" s="190">
        <f>+IF(E29&lt;=0.12,(J31),(IF(E29&lt;0.16,((J30+2*J31+J32)/4),IF(E29&gt;=0.16,((J29+3*J30+2*J31+3*J32+J33)/10)))))</f>
        <v>0.23328089999999996</v>
      </c>
      <c r="L29" s="190">
        <f>ROUND(+(D24+D29)/2*(C29-C24),3)</f>
        <v>0.19900000000000001</v>
      </c>
      <c r="M29" s="190">
        <f>ROUND(+K29*L29,4)</f>
        <v>4.6399999999999997E-2</v>
      </c>
      <c r="N29" s="193">
        <f>ROUND(+M29/$M$83*100,2)</f>
        <v>16.53</v>
      </c>
      <c r="O29" s="194"/>
      <c r="P29" s="195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1"/>
      <c r="C30" s="191"/>
      <c r="D30" s="191"/>
      <c r="E30" s="191"/>
      <c r="F30" s="66" t="s">
        <v>80</v>
      </c>
      <c r="G30" s="67">
        <f t="shared" ref="G30" si="4">IF(E29&lt;0.125,"NA",IF(0.125&lt;=E29,(0.2*E29)))</f>
        <v>0.10200000000000001</v>
      </c>
      <c r="H30" s="68"/>
      <c r="I30" s="69"/>
      <c r="J30" s="70">
        <v>0.196265</v>
      </c>
      <c r="K30" s="191"/>
      <c r="L30" s="191"/>
      <c r="M30" s="191"/>
      <c r="N30" s="191"/>
      <c r="O30" s="191"/>
      <c r="P30" s="196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1"/>
      <c r="C31" s="191"/>
      <c r="D31" s="191"/>
      <c r="E31" s="191"/>
      <c r="F31" s="66" t="s">
        <v>81</v>
      </c>
      <c r="G31" s="67">
        <f t="shared" ref="G31" si="5">+E29*0.4</f>
        <v>0.20400000000000001</v>
      </c>
      <c r="H31" s="68"/>
      <c r="I31" s="69"/>
      <c r="J31" s="70">
        <v>0.21339</v>
      </c>
      <c r="K31" s="191"/>
      <c r="L31" s="191"/>
      <c r="M31" s="191"/>
      <c r="N31" s="191"/>
      <c r="O31" s="191"/>
      <c r="P31" s="196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1"/>
      <c r="C32" s="191"/>
      <c r="D32" s="191"/>
      <c r="E32" s="191"/>
      <c r="F32" s="66" t="s">
        <v>82</v>
      </c>
      <c r="G32" s="67">
        <f t="shared" ref="G32" si="6">IF(E29&lt;0.125,"NA",IF(0.125&lt;=E29,(0.8*E29)))</f>
        <v>0.40800000000000003</v>
      </c>
      <c r="H32" s="68"/>
      <c r="I32" s="69"/>
      <c r="J32" s="70">
        <v>0.30749299999999996</v>
      </c>
      <c r="K32" s="191"/>
      <c r="L32" s="191"/>
      <c r="M32" s="191"/>
      <c r="N32" s="191"/>
      <c r="O32" s="191"/>
      <c r="P32" s="196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2"/>
      <c r="C33" s="192"/>
      <c r="D33" s="192"/>
      <c r="E33" s="192"/>
      <c r="F33" s="71" t="s">
        <v>83</v>
      </c>
      <c r="G33" s="72">
        <f t="shared" ref="G33" si="7">+E29</f>
        <v>0.51</v>
      </c>
      <c r="H33" s="73"/>
      <c r="I33" s="74"/>
      <c r="J33" s="75">
        <v>0.33864899999999998</v>
      </c>
      <c r="K33" s="192"/>
      <c r="L33" s="192"/>
      <c r="M33" s="192"/>
      <c r="N33" s="192"/>
      <c r="O33" s="192"/>
      <c r="P33" s="197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0">
        <v>4</v>
      </c>
      <c r="C34" s="213">
        <f>+C29+$N$12</f>
        <v>1.6</v>
      </c>
      <c r="D34" s="190">
        <v>0.48</v>
      </c>
      <c r="E34" s="190">
        <v>0.54</v>
      </c>
      <c r="F34" s="61" t="s">
        <v>79</v>
      </c>
      <c r="G34" s="62">
        <v>0</v>
      </c>
      <c r="H34" s="63"/>
      <c r="I34" s="64"/>
      <c r="J34" s="65"/>
      <c r="K34" s="190"/>
      <c r="L34" s="190"/>
      <c r="M34" s="190"/>
      <c r="N34" s="193"/>
      <c r="O34" s="194"/>
      <c r="P34" s="195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1"/>
      <c r="C35" s="191"/>
      <c r="D35" s="191"/>
      <c r="E35" s="191"/>
      <c r="F35" s="66" t="s">
        <v>80</v>
      </c>
      <c r="G35" s="67">
        <f t="shared" ref="G35" si="8">IF(E34&lt;0.125,"NA",IF(0.125&lt;=E34,(0.2*E34)))</f>
        <v>0.10800000000000001</v>
      </c>
      <c r="H35" s="68"/>
      <c r="I35" s="69"/>
      <c r="J35" s="70"/>
      <c r="K35" s="191"/>
      <c r="L35" s="191"/>
      <c r="M35" s="191"/>
      <c r="N35" s="191"/>
      <c r="O35" s="191"/>
      <c r="P35" s="196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1"/>
      <c r="C36" s="191"/>
      <c r="D36" s="191"/>
      <c r="E36" s="191"/>
      <c r="F36" s="66" t="s">
        <v>81</v>
      </c>
      <c r="G36" s="67">
        <f t="shared" ref="G36" si="9">+E34*0.4</f>
        <v>0.21600000000000003</v>
      </c>
      <c r="H36" s="68"/>
      <c r="I36" s="69"/>
      <c r="J36" s="70"/>
      <c r="K36" s="191"/>
      <c r="L36" s="191"/>
      <c r="M36" s="191"/>
      <c r="N36" s="191"/>
      <c r="O36" s="191"/>
      <c r="P36" s="196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1"/>
      <c r="C37" s="191"/>
      <c r="D37" s="191"/>
      <c r="E37" s="191"/>
      <c r="F37" s="66" t="s">
        <v>82</v>
      </c>
      <c r="G37" s="67">
        <f t="shared" ref="G37" si="10">IF(E34&lt;0.125,"NA",IF(0.125&lt;=E34,(0.8*E34)))</f>
        <v>0.43200000000000005</v>
      </c>
      <c r="H37" s="68"/>
      <c r="I37" s="69"/>
      <c r="J37" s="70"/>
      <c r="K37" s="191"/>
      <c r="L37" s="191"/>
      <c r="M37" s="191"/>
      <c r="N37" s="191"/>
      <c r="O37" s="191"/>
      <c r="P37" s="196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2"/>
      <c r="C38" s="192"/>
      <c r="D38" s="192"/>
      <c r="E38" s="192"/>
      <c r="F38" s="71" t="s">
        <v>83</v>
      </c>
      <c r="G38" s="72">
        <f t="shared" ref="G38" si="11">+E34</f>
        <v>0.54</v>
      </c>
      <c r="H38" s="73"/>
      <c r="I38" s="74"/>
      <c r="J38" s="75"/>
      <c r="K38" s="192"/>
      <c r="L38" s="192"/>
      <c r="M38" s="192"/>
      <c r="N38" s="192"/>
      <c r="O38" s="192"/>
      <c r="P38" s="197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0">
        <v>5</v>
      </c>
      <c r="C39" s="213">
        <f>+C34+$N$12</f>
        <v>2</v>
      </c>
      <c r="D39" s="190">
        <v>0.5</v>
      </c>
      <c r="E39" s="190">
        <v>0.435</v>
      </c>
      <c r="F39" s="61" t="s">
        <v>79</v>
      </c>
      <c r="G39" s="62">
        <v>0</v>
      </c>
      <c r="H39" s="63"/>
      <c r="I39" s="64"/>
      <c r="J39" s="65">
        <v>6.7000000000000004E-2</v>
      </c>
      <c r="K39" s="190">
        <f>+IF(E39&lt;=0.12,(J41),(IF(E39&lt;0.16,((J40+2*J41+J42)/4),IF(E39&gt;=0.16,((J39+3*J40+2*J41+3*J42+J43)/10)))))</f>
        <v>0.23549999999999999</v>
      </c>
      <c r="L39" s="190">
        <f>ROUND(+(D34+D39)/2*(C39-C34),3)</f>
        <v>0.19600000000000001</v>
      </c>
      <c r="M39" s="190">
        <f>ROUND(+K39*L39,4)</f>
        <v>4.6199999999999998E-2</v>
      </c>
      <c r="N39" s="193">
        <f>ROUND(+M39/$M$83*100,2)</f>
        <v>16.46</v>
      </c>
      <c r="O39" s="194"/>
      <c r="P39" s="195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1"/>
      <c r="C40" s="191"/>
      <c r="D40" s="191"/>
      <c r="E40" s="191"/>
      <c r="F40" s="66" t="s">
        <v>80</v>
      </c>
      <c r="G40" s="67">
        <f t="shared" ref="G40" si="12">IF(E39&lt;0.125,"NA",IF(0.125&lt;=E39,(0.2*E39)))</f>
        <v>8.7000000000000008E-2</v>
      </c>
      <c r="H40" s="68"/>
      <c r="I40" s="69"/>
      <c r="J40" s="70">
        <v>4.9000000000000002E-2</v>
      </c>
      <c r="K40" s="191"/>
      <c r="L40" s="191"/>
      <c r="M40" s="191"/>
      <c r="N40" s="191"/>
      <c r="O40" s="191"/>
      <c r="P40" s="196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1"/>
      <c r="C41" s="191"/>
      <c r="D41" s="191"/>
      <c r="E41" s="191"/>
      <c r="F41" s="66" t="s">
        <v>81</v>
      </c>
      <c r="G41" s="67">
        <f t="shared" ref="G41" si="13">+E39*0.4</f>
        <v>0.17400000000000002</v>
      </c>
      <c r="H41" s="68"/>
      <c r="I41" s="69"/>
      <c r="J41" s="70">
        <v>6.6000000000000003E-2</v>
      </c>
      <c r="K41" s="191"/>
      <c r="L41" s="191"/>
      <c r="M41" s="191"/>
      <c r="N41" s="191"/>
      <c r="O41" s="191"/>
      <c r="P41" s="196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1"/>
      <c r="C42" s="191"/>
      <c r="D42" s="191"/>
      <c r="E42" s="191"/>
      <c r="F42" s="66" t="s">
        <v>82</v>
      </c>
      <c r="G42" s="67">
        <f t="shared" ref="G42" si="14">IF(E39&lt;0.125,"NA",IF(0.125&lt;=E39,(0.8*E39)))</f>
        <v>0.34800000000000003</v>
      </c>
      <c r="H42" s="68"/>
      <c r="I42" s="69"/>
      <c r="J42" s="70">
        <v>0.48699999999999999</v>
      </c>
      <c r="K42" s="191"/>
      <c r="L42" s="191"/>
      <c r="M42" s="191"/>
      <c r="N42" s="191"/>
      <c r="O42" s="191"/>
      <c r="P42" s="196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2"/>
      <c r="C43" s="192"/>
      <c r="D43" s="192"/>
      <c r="E43" s="192"/>
      <c r="F43" s="71" t="s">
        <v>83</v>
      </c>
      <c r="G43" s="72">
        <f t="shared" ref="G43" si="15">+E39</f>
        <v>0.435</v>
      </c>
      <c r="H43" s="73"/>
      <c r="I43" s="74"/>
      <c r="J43" s="75">
        <v>0.54800000000000004</v>
      </c>
      <c r="K43" s="192"/>
      <c r="L43" s="192"/>
      <c r="M43" s="192"/>
      <c r="N43" s="192"/>
      <c r="O43" s="192"/>
      <c r="P43" s="197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0">
        <v>6</v>
      </c>
      <c r="C44" s="213">
        <f>+C39+$N$12</f>
        <v>2.4</v>
      </c>
      <c r="D44" s="190">
        <v>2.35</v>
      </c>
      <c r="E44" s="190">
        <v>0.26500000000000001</v>
      </c>
      <c r="F44" s="61" t="s">
        <v>79</v>
      </c>
      <c r="G44" s="62">
        <v>0</v>
      </c>
      <c r="H44" s="63"/>
      <c r="I44" s="64"/>
      <c r="J44" s="65">
        <v>1.3817466E-2</v>
      </c>
      <c r="K44" s="190">
        <f t="shared" ref="K44" si="16">+IF(E44&lt;=0.12,(J46),(IF(E44&lt;0.16,((J45+2*J46+J47)/4),IF(E44&gt;=0.16,((J44+3*J45+2*J46+3*J47+J48)/10)))))</f>
        <v>8.9760384900000004E-2</v>
      </c>
      <c r="L44" s="190">
        <f t="shared" ref="L44" si="17">ROUND(+(D39+D44)/2*(C44-C39),3)</f>
        <v>0.56999999999999995</v>
      </c>
      <c r="M44" s="190">
        <f t="shared" ref="M44" si="18">ROUND(+K44*L44,4)</f>
        <v>5.1200000000000002E-2</v>
      </c>
      <c r="N44" s="193">
        <f t="shared" ref="N44" si="19">ROUND(+M44/$M$83*100,2)</f>
        <v>18.239999999999998</v>
      </c>
      <c r="O44" s="194"/>
      <c r="P44" s="195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1"/>
      <c r="C45" s="191"/>
      <c r="D45" s="191"/>
      <c r="E45" s="191"/>
      <c r="F45" s="66" t="s">
        <v>80</v>
      </c>
      <c r="G45" s="67">
        <f t="shared" ref="G45" si="20">IF(E44&lt;0.125,"NA",IF(0.125&lt;=E44,(0.2*E44)))</f>
        <v>5.3000000000000005E-2</v>
      </c>
      <c r="H45" s="68"/>
      <c r="I45" s="69"/>
      <c r="J45" s="70">
        <v>3.4543665000000001E-2</v>
      </c>
      <c r="K45" s="191"/>
      <c r="L45" s="191"/>
      <c r="M45" s="191"/>
      <c r="N45" s="191"/>
      <c r="O45" s="191"/>
      <c r="P45" s="196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1"/>
      <c r="C46" s="191"/>
      <c r="D46" s="191"/>
      <c r="E46" s="191"/>
      <c r="F46" s="66" t="s">
        <v>81</v>
      </c>
      <c r="G46" s="67">
        <f t="shared" ref="G46" si="21">+E44*0.4</f>
        <v>0.10600000000000001</v>
      </c>
      <c r="H46" s="68"/>
      <c r="I46" s="69"/>
      <c r="J46" s="70">
        <v>0.10097378999999999</v>
      </c>
      <c r="K46" s="191"/>
      <c r="L46" s="191"/>
      <c r="M46" s="191"/>
      <c r="N46" s="191"/>
      <c r="O46" s="191"/>
      <c r="P46" s="196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1"/>
      <c r="C47" s="191"/>
      <c r="D47" s="191"/>
      <c r="E47" s="191"/>
      <c r="F47" s="66" t="s">
        <v>82</v>
      </c>
      <c r="G47" s="67">
        <f t="shared" ref="G47" si="22">IF(E44&lt;0.125,"NA",IF(0.125&lt;=E44,(0.8*E44)))</f>
        <v>0.21200000000000002</v>
      </c>
      <c r="H47" s="68"/>
      <c r="I47" s="69"/>
      <c r="J47" s="70">
        <v>0.13445457299999999</v>
      </c>
      <c r="K47" s="191"/>
      <c r="L47" s="191"/>
      <c r="M47" s="191"/>
      <c r="N47" s="191"/>
      <c r="O47" s="191"/>
      <c r="P47" s="196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2"/>
      <c r="C48" s="192"/>
      <c r="D48" s="192"/>
      <c r="E48" s="192"/>
      <c r="F48" s="71" t="s">
        <v>83</v>
      </c>
      <c r="G48" s="72">
        <f t="shared" ref="G48" si="23">+E44</f>
        <v>0.26500000000000001</v>
      </c>
      <c r="H48" s="73"/>
      <c r="I48" s="74"/>
      <c r="J48" s="75">
        <v>0.17484408900000001</v>
      </c>
      <c r="K48" s="192"/>
      <c r="L48" s="192"/>
      <c r="M48" s="192"/>
      <c r="N48" s="192"/>
      <c r="O48" s="192"/>
      <c r="P48" s="197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0">
        <v>7</v>
      </c>
      <c r="C49" s="213">
        <f>+C44+$N$12</f>
        <v>2.8</v>
      </c>
      <c r="D49" s="190">
        <v>0.2</v>
      </c>
      <c r="E49" s="190">
        <v>0.215</v>
      </c>
      <c r="F49" s="61" t="s">
        <v>79</v>
      </c>
      <c r="G49" s="62">
        <v>0</v>
      </c>
      <c r="H49" s="63"/>
      <c r="I49" s="64"/>
      <c r="J49" s="65">
        <v>7.4999999999999997E-2</v>
      </c>
      <c r="K49" s="190">
        <f t="shared" ref="K49" si="24">+IF(E49&lt;=0.12,(J51),(IF(E49&lt;0.16,((J50+2*J51+J52)/4),IF(E49&gt;=0.16,((J49+3*J50+2*J51+3*J52+J53)/10)))))</f>
        <v>7.8200000000000006E-2</v>
      </c>
      <c r="L49" s="190">
        <f>ROUND(+(D44+D49)/2*(C49-C44),3)</f>
        <v>0.51</v>
      </c>
      <c r="M49" s="190">
        <f t="shared" ref="M49" si="25">ROUND(+K49*L49,4)</f>
        <v>3.9899999999999998E-2</v>
      </c>
      <c r="N49" s="193">
        <f t="shared" ref="N49" si="26">ROUND(+M49/$M$83*100,2)</f>
        <v>14.21</v>
      </c>
      <c r="O49" s="194"/>
      <c r="P49" s="195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1"/>
      <c r="C50" s="191"/>
      <c r="D50" s="191"/>
      <c r="E50" s="191"/>
      <c r="F50" s="66" t="s">
        <v>80</v>
      </c>
      <c r="G50" s="67">
        <f t="shared" ref="G50" si="27">IF(E49&lt;0.125,"NA",IF(0.125&lt;=E49,(0.2*E49)))</f>
        <v>4.3000000000000003E-2</v>
      </c>
      <c r="H50" s="68"/>
      <c r="I50" s="69"/>
      <c r="J50" s="70">
        <v>6.2E-2</v>
      </c>
      <c r="K50" s="191"/>
      <c r="L50" s="191"/>
      <c r="M50" s="191"/>
      <c r="N50" s="191"/>
      <c r="O50" s="191"/>
      <c r="P50" s="196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1"/>
      <c r="C51" s="191"/>
      <c r="D51" s="191"/>
      <c r="E51" s="191"/>
      <c r="F51" s="66" t="s">
        <v>81</v>
      </c>
      <c r="G51" s="67">
        <f t="shared" ref="G51" si="28">+E49*0.4</f>
        <v>8.6000000000000007E-2</v>
      </c>
      <c r="H51" s="68"/>
      <c r="I51" s="69"/>
      <c r="J51" s="70">
        <v>4.8000000000000001E-2</v>
      </c>
      <c r="K51" s="191"/>
      <c r="L51" s="191"/>
      <c r="M51" s="191"/>
      <c r="N51" s="191"/>
      <c r="O51" s="191"/>
      <c r="P51" s="196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1"/>
      <c r="C52" s="191"/>
      <c r="D52" s="191"/>
      <c r="E52" s="191"/>
      <c r="F52" s="66" t="s">
        <v>82</v>
      </c>
      <c r="G52" s="67">
        <f t="shared" ref="G52" si="29">IF(E49&lt;0.125,"NA",IF(0.125&lt;=E49,(0.8*E49)))</f>
        <v>0.17200000000000001</v>
      </c>
      <c r="H52" s="68"/>
      <c r="I52" s="69"/>
      <c r="J52" s="70">
        <v>9.4E-2</v>
      </c>
      <c r="K52" s="191"/>
      <c r="L52" s="191"/>
      <c r="M52" s="191"/>
      <c r="N52" s="191"/>
      <c r="O52" s="191"/>
      <c r="P52" s="196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2"/>
      <c r="C53" s="192"/>
      <c r="D53" s="192"/>
      <c r="E53" s="192"/>
      <c r="F53" s="71" t="s">
        <v>83</v>
      </c>
      <c r="G53" s="72">
        <f t="shared" ref="G53" si="30">+E49</f>
        <v>0.215</v>
      </c>
      <c r="H53" s="73"/>
      <c r="I53" s="74"/>
      <c r="J53" s="75">
        <v>0.14299999999999999</v>
      </c>
      <c r="K53" s="192"/>
      <c r="L53" s="192"/>
      <c r="M53" s="192"/>
      <c r="N53" s="192"/>
      <c r="O53" s="192"/>
      <c r="P53" s="197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60" customFormat="1" ht="13.5" customHeight="1" x14ac:dyDescent="0.25">
      <c r="A54" s="52"/>
      <c r="B54" s="210">
        <v>8</v>
      </c>
      <c r="C54" s="213">
        <f t="shared" ref="C54" si="31">+C49+$N$12</f>
        <v>3.1999999999999997</v>
      </c>
      <c r="D54" s="190">
        <v>0.1</v>
      </c>
      <c r="E54" s="190">
        <v>0.18</v>
      </c>
      <c r="F54" s="61" t="s">
        <v>79</v>
      </c>
      <c r="G54" s="62">
        <v>0</v>
      </c>
      <c r="H54" s="63"/>
      <c r="I54" s="64"/>
      <c r="J54" s="65">
        <v>6.1136534000000006E-2</v>
      </c>
      <c r="K54" s="190">
        <f t="shared" ref="K54" si="32">+IF(E54&lt;=0.12,(J56),(IF(E54&lt;0.16,((J55+2*J56+J57)/4),IF(E54&gt;=0.16,((J54+3*J55+2*J56+3*J57+J58)/10)))))</f>
        <v>0.11236771510000002</v>
      </c>
      <c r="L54" s="190">
        <f t="shared" ref="L54" si="33">ROUND(+(D49+D54)/2*(C54-C49),3)</f>
        <v>0.06</v>
      </c>
      <c r="M54" s="190">
        <f t="shared" ref="M54" si="34">ROUND(+K54*L54,4)</f>
        <v>6.7000000000000002E-3</v>
      </c>
      <c r="N54" s="193">
        <f t="shared" ref="N54" si="35">ROUND(+M54/$M$83*100,2)</f>
        <v>2.39</v>
      </c>
      <c r="O54" s="194"/>
      <c r="P54" s="195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s="60" customFormat="1" ht="13.5" customHeight="1" x14ac:dyDescent="0.25">
      <c r="A55" s="52"/>
      <c r="B55" s="211"/>
      <c r="C55" s="191"/>
      <c r="D55" s="191"/>
      <c r="E55" s="191"/>
      <c r="F55" s="66" t="s">
        <v>80</v>
      </c>
      <c r="G55" s="67">
        <f t="shared" ref="G55" si="36">IF(E54&lt;0.125,"NA",IF(0.125&lt;=E54,(0.2*E54)))</f>
        <v>3.5999999999999997E-2</v>
      </c>
      <c r="H55" s="68"/>
      <c r="I55" s="69"/>
      <c r="J55" s="70">
        <v>7.6841334999999997E-2</v>
      </c>
      <c r="K55" s="191"/>
      <c r="L55" s="191"/>
      <c r="M55" s="191"/>
      <c r="N55" s="191"/>
      <c r="O55" s="191"/>
      <c r="P55" s="196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60" customFormat="1" ht="13.5" customHeight="1" x14ac:dyDescent="0.25">
      <c r="A56" s="52"/>
      <c r="B56" s="211"/>
      <c r="C56" s="191"/>
      <c r="D56" s="191"/>
      <c r="E56" s="191"/>
      <c r="F56" s="66" t="s">
        <v>81</v>
      </c>
      <c r="G56" s="67">
        <f t="shared" ref="G56" si="37">+E54*0.4</f>
        <v>7.1999999999999995E-2</v>
      </c>
      <c r="H56" s="68"/>
      <c r="I56" s="69"/>
      <c r="J56" s="70">
        <v>0.10953620999999999</v>
      </c>
      <c r="K56" s="191"/>
      <c r="L56" s="191"/>
      <c r="M56" s="191"/>
      <c r="N56" s="191"/>
      <c r="O56" s="191"/>
      <c r="P56" s="196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s="60" customFormat="1" ht="13.5" customHeight="1" x14ac:dyDescent="0.25">
      <c r="A57" s="52"/>
      <c r="B57" s="211"/>
      <c r="C57" s="191"/>
      <c r="D57" s="191"/>
      <c r="E57" s="191"/>
      <c r="F57" s="66" t="s">
        <v>82</v>
      </c>
      <c r="G57" s="67">
        <f t="shared" ref="G57" si="38">IF(E54&lt;0.125,"NA",IF(0.125&lt;=E54,(0.8*E54)))</f>
        <v>0.14399999999999999</v>
      </c>
      <c r="H57" s="68"/>
      <c r="I57" s="69"/>
      <c r="J57" s="70">
        <v>0.13698242699999999</v>
      </c>
      <c r="K57" s="191"/>
      <c r="L57" s="191"/>
      <c r="M57" s="191"/>
      <c r="N57" s="191"/>
      <c r="O57" s="191"/>
      <c r="P57" s="196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s="60" customFormat="1" ht="13.5" customHeight="1" thickBot="1" x14ac:dyDescent="0.3">
      <c r="A58" s="52"/>
      <c r="B58" s="212"/>
      <c r="C58" s="192"/>
      <c r="D58" s="192"/>
      <c r="E58" s="192"/>
      <c r="F58" s="71" t="s">
        <v>83</v>
      </c>
      <c r="G58" s="72">
        <f t="shared" ref="G58" si="39">+E54</f>
        <v>0.18</v>
      </c>
      <c r="H58" s="73"/>
      <c r="I58" s="74"/>
      <c r="J58" s="75">
        <v>0.201996911</v>
      </c>
      <c r="K58" s="192"/>
      <c r="L58" s="192"/>
      <c r="M58" s="192"/>
      <c r="N58" s="192"/>
      <c r="O58" s="192"/>
      <c r="P58" s="197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60" customFormat="1" ht="13.5" customHeight="1" x14ac:dyDescent="0.25">
      <c r="A59" s="52"/>
      <c r="B59" s="210">
        <v>9</v>
      </c>
      <c r="C59" s="213">
        <f>+C54+0.3</f>
        <v>3.4999999999999996</v>
      </c>
      <c r="D59" s="190">
        <v>0</v>
      </c>
      <c r="E59" s="190">
        <v>4.4999999999999998E-2</v>
      </c>
      <c r="F59" s="61" t="s">
        <v>79</v>
      </c>
      <c r="G59" s="62">
        <v>0</v>
      </c>
      <c r="H59" s="63"/>
      <c r="I59" s="64"/>
      <c r="J59" s="65">
        <v>2.9000000000000001E-2</v>
      </c>
      <c r="K59" s="190">
        <f t="shared" ref="K59" si="40">+IF(E59&lt;=0.12,(J61),(IF(E59&lt;0.16,((J60+2*J61+J62)/4),IF(E59&gt;=0.16,((J59+3*J60+2*J61+3*J62+J63)/10)))))</f>
        <v>5.7000000000000002E-2</v>
      </c>
      <c r="L59" s="190">
        <f>ROUND(+(D54+D59)/2*(C59-C54),3)</f>
        <v>1.4999999999999999E-2</v>
      </c>
      <c r="M59" s="190">
        <f t="shared" ref="M59" si="41">ROUND(+K59*L59,4)</f>
        <v>8.9999999999999998E-4</v>
      </c>
      <c r="N59" s="193">
        <f t="shared" ref="N59" si="42">ROUND(+M59/$M$83*100,2)</f>
        <v>0.32</v>
      </c>
      <c r="O59" s="194"/>
      <c r="P59" s="195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s="60" customFormat="1" ht="13.5" customHeight="1" x14ac:dyDescent="0.25">
      <c r="A60" s="52"/>
      <c r="B60" s="211"/>
      <c r="C60" s="191"/>
      <c r="D60" s="191"/>
      <c r="E60" s="191"/>
      <c r="F60" s="66" t="s">
        <v>80</v>
      </c>
      <c r="G60" s="67" t="str">
        <f t="shared" ref="G60" si="43">IF(E59&lt;0.125,"NA",IF(0.125&lt;=E59,(0.2*E59)))</f>
        <v>NA</v>
      </c>
      <c r="H60" s="68"/>
      <c r="I60" s="69"/>
      <c r="J60" s="70"/>
      <c r="K60" s="191"/>
      <c r="L60" s="191"/>
      <c r="M60" s="191"/>
      <c r="N60" s="191"/>
      <c r="O60" s="191"/>
      <c r="P60" s="196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s="60" customFormat="1" ht="13.5" customHeight="1" x14ac:dyDescent="0.25">
      <c r="A61" s="52"/>
      <c r="B61" s="211"/>
      <c r="C61" s="191"/>
      <c r="D61" s="191"/>
      <c r="E61" s="191"/>
      <c r="F61" s="66" t="s">
        <v>81</v>
      </c>
      <c r="G61" s="67">
        <f t="shared" ref="G61" si="44">+E59*0.4</f>
        <v>1.7999999999999999E-2</v>
      </c>
      <c r="H61" s="68"/>
      <c r="I61" s="69"/>
      <c r="J61" s="70">
        <v>5.7000000000000002E-2</v>
      </c>
      <c r="K61" s="191"/>
      <c r="L61" s="191"/>
      <c r="M61" s="191"/>
      <c r="N61" s="191"/>
      <c r="O61" s="191"/>
      <c r="P61" s="196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s="60" customFormat="1" ht="13.5" customHeight="1" x14ac:dyDescent="0.25">
      <c r="A62" s="52"/>
      <c r="B62" s="211"/>
      <c r="C62" s="191"/>
      <c r="D62" s="191"/>
      <c r="E62" s="191"/>
      <c r="F62" s="66" t="s">
        <v>82</v>
      </c>
      <c r="G62" s="67" t="str">
        <f t="shared" ref="G62" si="45">IF(E59&lt;0.125,"NA",IF(0.125&lt;=E59,(0.8*E59)))</f>
        <v>NA</v>
      </c>
      <c r="H62" s="68"/>
      <c r="I62" s="69"/>
      <c r="J62" s="70"/>
      <c r="K62" s="191"/>
      <c r="L62" s="191"/>
      <c r="M62" s="191"/>
      <c r="N62" s="191"/>
      <c r="O62" s="191"/>
      <c r="P62" s="196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s="60" customFormat="1" ht="13.5" customHeight="1" thickBot="1" x14ac:dyDescent="0.3">
      <c r="A63" s="52"/>
      <c r="B63" s="212"/>
      <c r="C63" s="192"/>
      <c r="D63" s="192"/>
      <c r="E63" s="192"/>
      <c r="F63" s="71" t="s">
        <v>83</v>
      </c>
      <c r="G63" s="72">
        <f t="shared" ref="G63" si="46">+E59</f>
        <v>4.4999999999999998E-2</v>
      </c>
      <c r="H63" s="73"/>
      <c r="I63" s="74"/>
      <c r="J63" s="75">
        <v>4.1000000000000002E-2</v>
      </c>
      <c r="K63" s="192"/>
      <c r="L63" s="192"/>
      <c r="M63" s="192"/>
      <c r="N63" s="192"/>
      <c r="O63" s="192"/>
      <c r="P63" s="197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s="3" customFormat="1" ht="14.1" customHeight="1" x14ac:dyDescent="0.2">
      <c r="B64" s="198" t="s">
        <v>29</v>
      </c>
      <c r="C64" s="201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</row>
    <row r="65" spans="1:26" s="3" customFormat="1" ht="14.1" customHeight="1" x14ac:dyDescent="0.2">
      <c r="B65" s="199"/>
      <c r="C65" s="204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</row>
    <row r="66" spans="1:26" s="3" customFormat="1" ht="14.1" customHeight="1" x14ac:dyDescent="0.2">
      <c r="B66" s="199"/>
      <c r="C66" s="204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6"/>
    </row>
    <row r="67" spans="1:26" s="3" customFormat="1" ht="14.1" customHeight="1" x14ac:dyDescent="0.2">
      <c r="B67" s="199"/>
      <c r="C67" s="204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6"/>
    </row>
    <row r="68" spans="1:26" s="3" customFormat="1" ht="14.1" customHeight="1" x14ac:dyDescent="0.2">
      <c r="B68" s="199"/>
      <c r="C68" s="204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6"/>
    </row>
    <row r="69" spans="1:26" s="3" customFormat="1" ht="14.1" customHeight="1" thickBot="1" x14ac:dyDescent="0.25">
      <c r="B69" s="200"/>
      <c r="C69" s="207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9"/>
    </row>
    <row r="70" spans="1:26" s="3" customFormat="1" ht="28.5" customHeight="1" thickBot="1" x14ac:dyDescent="0.25">
      <c r="A70" s="76"/>
      <c r="B70" s="77" t="s">
        <v>84</v>
      </c>
      <c r="C70" s="177" t="s">
        <v>85</v>
      </c>
      <c r="D70" s="177"/>
      <c r="E70" s="177"/>
      <c r="F70" s="177"/>
      <c r="G70" s="177"/>
      <c r="H70" s="178"/>
      <c r="I70" s="179"/>
      <c r="J70" s="77" t="s">
        <v>86</v>
      </c>
      <c r="K70" s="177" t="s">
        <v>87</v>
      </c>
      <c r="L70" s="177"/>
      <c r="M70" s="177"/>
      <c r="N70" s="177"/>
      <c r="O70" s="177"/>
      <c r="P70" s="178"/>
    </row>
    <row r="71" spans="1:26" s="3" customFormat="1" ht="28.5" customHeight="1" thickBot="1" x14ac:dyDescent="0.25">
      <c r="B71" s="78" t="s">
        <v>88</v>
      </c>
      <c r="C71" s="181" t="s">
        <v>89</v>
      </c>
      <c r="D71" s="181"/>
      <c r="E71" s="181"/>
      <c r="F71" s="181"/>
      <c r="G71" s="181"/>
      <c r="H71" s="182"/>
      <c r="I71" s="180"/>
      <c r="J71" s="78" t="s">
        <v>90</v>
      </c>
      <c r="K71" s="181" t="s">
        <v>91</v>
      </c>
      <c r="L71" s="181"/>
      <c r="M71" s="181"/>
      <c r="N71" s="181"/>
      <c r="O71" s="181"/>
      <c r="P71" s="182"/>
    </row>
    <row r="72" spans="1:26" s="19" customFormat="1" ht="13.5" customHeight="1" x14ac:dyDescent="0.25">
      <c r="A72" s="79"/>
      <c r="B72" s="183">
        <f>B34</f>
        <v>4</v>
      </c>
      <c r="C72" s="186">
        <f>+C29</f>
        <v>1.2000000000000002</v>
      </c>
      <c r="D72" s="188">
        <f>+D29</f>
        <v>0.53</v>
      </c>
      <c r="E72" s="188">
        <f>+E34</f>
        <v>0.54</v>
      </c>
      <c r="F72" s="80" t="s">
        <v>79</v>
      </c>
      <c r="G72" s="80">
        <v>0.01</v>
      </c>
      <c r="H72" s="81"/>
      <c r="I72" s="82"/>
      <c r="J72" s="83">
        <v>1.2E-2</v>
      </c>
      <c r="K72" s="189">
        <f>+AVERAGE(J72:J82)</f>
        <v>0.21836363636363637</v>
      </c>
      <c r="L72" s="168">
        <f>ROUND(+(D72+D77)/2*(C77-C72),3)</f>
        <v>0.20200000000000001</v>
      </c>
      <c r="M72" s="171">
        <f>ROUND(+K72*L72,4)</f>
        <v>4.41E-2</v>
      </c>
      <c r="N72" s="168">
        <f>ROUND(+M72/$M$83*100,2)</f>
        <v>15.71</v>
      </c>
      <c r="O72" s="168"/>
      <c r="P72" s="172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s="19" customFormat="1" ht="13.5" customHeight="1" x14ac:dyDescent="0.25">
      <c r="A73" s="79"/>
      <c r="B73" s="184"/>
      <c r="C73" s="169"/>
      <c r="D73" s="169"/>
      <c r="E73" s="169"/>
      <c r="F73" s="85" t="s">
        <v>92</v>
      </c>
      <c r="G73" s="86">
        <f>+E72*0.1</f>
        <v>5.4000000000000006E-2</v>
      </c>
      <c r="H73" s="87"/>
      <c r="I73" s="88"/>
      <c r="J73" s="89">
        <v>7.9000000000000001E-2</v>
      </c>
      <c r="K73" s="169"/>
      <c r="L73" s="169"/>
      <c r="M73" s="169"/>
      <c r="N73" s="169"/>
      <c r="O73" s="169"/>
      <c r="P73" s="173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s="19" customFormat="1" ht="13.5" customHeight="1" x14ac:dyDescent="0.25">
      <c r="A74" s="79"/>
      <c r="B74" s="184"/>
      <c r="C74" s="169"/>
      <c r="D74" s="169"/>
      <c r="E74" s="169"/>
      <c r="F74" s="85" t="s">
        <v>93</v>
      </c>
      <c r="G74" s="86">
        <f>+E72*0.2</f>
        <v>0.10800000000000001</v>
      </c>
      <c r="H74" s="87"/>
      <c r="I74" s="88"/>
      <c r="J74" s="89">
        <v>0.13500000000000001</v>
      </c>
      <c r="K74" s="169"/>
      <c r="L74" s="169"/>
      <c r="M74" s="169"/>
      <c r="N74" s="169"/>
      <c r="O74" s="169"/>
      <c r="P74" s="173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s="19" customFormat="1" ht="13.5" customHeight="1" x14ac:dyDescent="0.25">
      <c r="A75" s="79"/>
      <c r="B75" s="184"/>
      <c r="C75" s="169"/>
      <c r="D75" s="169"/>
      <c r="E75" s="169"/>
      <c r="F75" s="85" t="s">
        <v>94</v>
      </c>
      <c r="G75" s="86">
        <f>+E72*0.3</f>
        <v>0.16200000000000001</v>
      </c>
      <c r="H75" s="87"/>
      <c r="I75" s="88"/>
      <c r="J75" s="89">
        <v>0.14299999999999999</v>
      </c>
      <c r="K75" s="169"/>
      <c r="L75" s="169"/>
      <c r="M75" s="169"/>
      <c r="N75" s="169"/>
      <c r="O75" s="169"/>
      <c r="P75" s="173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s="19" customFormat="1" ht="13.5" customHeight="1" x14ac:dyDescent="0.25">
      <c r="A76" s="79"/>
      <c r="B76" s="184"/>
      <c r="C76" s="187"/>
      <c r="D76" s="187"/>
      <c r="E76" s="169"/>
      <c r="F76" s="85" t="s">
        <v>95</v>
      </c>
      <c r="G76" s="86">
        <f>+E72*0.4</f>
        <v>0.21600000000000003</v>
      </c>
      <c r="H76" s="87"/>
      <c r="I76" s="88"/>
      <c r="J76" s="89">
        <v>0.114</v>
      </c>
      <c r="K76" s="169"/>
      <c r="L76" s="169"/>
      <c r="M76" s="169"/>
      <c r="N76" s="169"/>
      <c r="O76" s="169"/>
      <c r="P76" s="173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s="19" customFormat="1" ht="13.5" customHeight="1" x14ac:dyDescent="0.25">
      <c r="A77" s="79"/>
      <c r="B77" s="184"/>
      <c r="C77" s="175">
        <f>+C34</f>
        <v>1.6</v>
      </c>
      <c r="D77" s="176">
        <f>+D34</f>
        <v>0.48</v>
      </c>
      <c r="E77" s="169"/>
      <c r="F77" s="85" t="s">
        <v>30</v>
      </c>
      <c r="G77" s="86">
        <f>+E72*0.5</f>
        <v>0.27</v>
      </c>
      <c r="H77" s="87"/>
      <c r="I77" s="88"/>
      <c r="J77" s="89">
        <v>0.19700000000000001</v>
      </c>
      <c r="K77" s="169"/>
      <c r="L77" s="169"/>
      <c r="M77" s="169"/>
      <c r="N77" s="169"/>
      <c r="O77" s="169"/>
      <c r="P77" s="173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s="19" customFormat="1" ht="13.5" customHeight="1" x14ac:dyDescent="0.25">
      <c r="A78" s="79"/>
      <c r="B78" s="184"/>
      <c r="C78" s="169"/>
      <c r="D78" s="169"/>
      <c r="E78" s="169"/>
      <c r="F78" s="85" t="s">
        <v>96</v>
      </c>
      <c r="G78" s="86">
        <f>+E72*0.6</f>
        <v>0.32400000000000001</v>
      </c>
      <c r="H78" s="87"/>
      <c r="I78" s="88"/>
      <c r="J78" s="89">
        <v>0.26100000000000001</v>
      </c>
      <c r="K78" s="169"/>
      <c r="L78" s="169"/>
      <c r="M78" s="169"/>
      <c r="N78" s="169"/>
      <c r="O78" s="169"/>
      <c r="P78" s="173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s="19" customFormat="1" ht="13.5" customHeight="1" x14ac:dyDescent="0.25">
      <c r="A79" s="79"/>
      <c r="B79" s="184"/>
      <c r="C79" s="169"/>
      <c r="D79" s="169"/>
      <c r="E79" s="169"/>
      <c r="F79" s="85" t="s">
        <v>97</v>
      </c>
      <c r="G79" s="86">
        <f>+E72*0.7</f>
        <v>0.378</v>
      </c>
      <c r="H79" s="87"/>
      <c r="I79" s="88"/>
      <c r="J79" s="89">
        <v>0.377</v>
      </c>
      <c r="K79" s="169"/>
      <c r="L79" s="169"/>
      <c r="M79" s="169"/>
      <c r="N79" s="169"/>
      <c r="O79" s="169"/>
      <c r="P79" s="173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s="19" customFormat="1" ht="13.5" customHeight="1" x14ac:dyDescent="0.25">
      <c r="A80" s="79"/>
      <c r="B80" s="184"/>
      <c r="C80" s="169"/>
      <c r="D80" s="169"/>
      <c r="E80" s="169"/>
      <c r="F80" s="85" t="s">
        <v>98</v>
      </c>
      <c r="G80" s="86">
        <f>+E72*0.8</f>
        <v>0.43200000000000005</v>
      </c>
      <c r="H80" s="87"/>
      <c r="I80" s="88"/>
      <c r="J80" s="89">
        <v>0.38100000000000001</v>
      </c>
      <c r="K80" s="169"/>
      <c r="L80" s="169"/>
      <c r="M80" s="169"/>
      <c r="N80" s="169"/>
      <c r="O80" s="169"/>
      <c r="P80" s="173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s="19" customFormat="1" ht="13.5" customHeight="1" x14ac:dyDescent="0.25">
      <c r="A81" s="79"/>
      <c r="B81" s="184"/>
      <c r="C81" s="169"/>
      <c r="D81" s="169"/>
      <c r="E81" s="169"/>
      <c r="F81" s="85" t="s">
        <v>99</v>
      </c>
      <c r="G81" s="86">
        <f>+E72*0.9</f>
        <v>0.48600000000000004</v>
      </c>
      <c r="H81" s="87"/>
      <c r="I81" s="88"/>
      <c r="J81" s="89">
        <v>0.33</v>
      </c>
      <c r="K81" s="169"/>
      <c r="L81" s="169"/>
      <c r="M81" s="169"/>
      <c r="N81" s="169"/>
      <c r="O81" s="169"/>
      <c r="P81" s="173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s="19" customFormat="1" ht="15.75" thickBot="1" x14ac:dyDescent="0.3">
      <c r="A82" s="79"/>
      <c r="B82" s="185"/>
      <c r="C82" s="170"/>
      <c r="D82" s="170"/>
      <c r="E82" s="170"/>
      <c r="F82" s="90" t="s">
        <v>31</v>
      </c>
      <c r="G82" s="90">
        <f>+E72</f>
        <v>0.54</v>
      </c>
      <c r="H82" s="91"/>
      <c r="I82" s="92"/>
      <c r="J82" s="93">
        <v>0.373</v>
      </c>
      <c r="K82" s="170"/>
      <c r="L82" s="170"/>
      <c r="M82" s="170"/>
      <c r="N82" s="170"/>
      <c r="O82" s="170"/>
      <c r="P82" s="17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s="3" customFormat="1" ht="12.75" x14ac:dyDescent="0.2">
      <c r="A83" s="11"/>
      <c r="B83" s="156" t="s">
        <v>32</v>
      </c>
      <c r="C83" s="156"/>
      <c r="D83" s="156"/>
      <c r="E83" s="156"/>
      <c r="F83" s="156"/>
      <c r="G83" s="156"/>
      <c r="H83" s="156"/>
      <c r="I83" s="156"/>
      <c r="J83" s="156"/>
      <c r="K83" s="12">
        <f>ROUND(+M83/L83,3)</f>
        <v>0.13300000000000001</v>
      </c>
      <c r="L83" s="16">
        <f>SUM(L19:L82)</f>
        <v>2.109</v>
      </c>
      <c r="M83" s="15">
        <f>SUM(M19:M82)</f>
        <v>0.28070000000000001</v>
      </c>
      <c r="N83" s="13">
        <f>ROUND(SUM(N19:N82),0)</f>
        <v>100</v>
      </c>
      <c r="O83" s="158" t="s">
        <v>33</v>
      </c>
      <c r="P83" s="160"/>
    </row>
    <row r="84" spans="1:26" s="3" customFormat="1" ht="15" customHeight="1" thickBot="1" x14ac:dyDescent="0.25">
      <c r="A84" s="11"/>
      <c r="B84" s="157"/>
      <c r="C84" s="157"/>
      <c r="D84" s="157"/>
      <c r="E84" s="157"/>
      <c r="F84" s="157"/>
      <c r="G84" s="157"/>
      <c r="H84" s="157"/>
      <c r="I84" s="157"/>
      <c r="J84" s="157"/>
      <c r="K84" s="14" t="s">
        <v>34</v>
      </c>
      <c r="L84" s="14" t="s">
        <v>50</v>
      </c>
      <c r="M84" s="14" t="s">
        <v>51</v>
      </c>
      <c r="N84" s="14" t="s">
        <v>35</v>
      </c>
      <c r="O84" s="159"/>
      <c r="P84" s="161"/>
    </row>
    <row r="85" spans="1:26" ht="15" customHeight="1" thickBot="1" x14ac:dyDescent="0.3">
      <c r="A85" s="5"/>
      <c r="B85" s="162" t="s">
        <v>100</v>
      </c>
      <c r="C85" s="163"/>
      <c r="D85" s="163"/>
      <c r="E85" s="163"/>
      <c r="F85" s="164"/>
      <c r="G85" s="162" t="s">
        <v>101</v>
      </c>
      <c r="H85" s="163"/>
      <c r="I85" s="163"/>
      <c r="J85" s="163"/>
      <c r="K85" s="164"/>
      <c r="L85" s="165" t="s">
        <v>53</v>
      </c>
      <c r="M85" s="166"/>
      <c r="N85" s="166"/>
      <c r="O85" s="166"/>
      <c r="P85" s="167"/>
    </row>
    <row r="86" spans="1:26" ht="15" customHeight="1" x14ac:dyDescent="0.25">
      <c r="A86" s="5"/>
      <c r="B86" s="126"/>
      <c r="C86" s="127"/>
      <c r="D86" s="127"/>
      <c r="E86" s="127"/>
      <c r="F86" s="128"/>
      <c r="G86" s="126"/>
      <c r="H86" s="127"/>
      <c r="I86" s="127"/>
      <c r="J86" s="127"/>
      <c r="K86" s="128"/>
      <c r="L86" s="135" t="s">
        <v>102</v>
      </c>
      <c r="M86" s="136"/>
      <c r="N86" s="136"/>
      <c r="O86" s="137">
        <f>+AVERAGE(E18:E63)</f>
        <v>0.35888888888888887</v>
      </c>
      <c r="P86" s="138"/>
    </row>
    <row r="87" spans="1:26" ht="15" customHeight="1" thickBot="1" x14ac:dyDescent="0.3">
      <c r="A87" s="5"/>
      <c r="B87" s="129"/>
      <c r="C87" s="130"/>
      <c r="D87" s="130"/>
      <c r="E87" s="130"/>
      <c r="F87" s="131"/>
      <c r="G87" s="129"/>
      <c r="H87" s="130"/>
      <c r="I87" s="130"/>
      <c r="J87" s="130"/>
      <c r="K87" s="131"/>
      <c r="L87" s="139" t="s">
        <v>103</v>
      </c>
      <c r="M87" s="140"/>
      <c r="N87" s="140"/>
      <c r="O87" s="305">
        <f>+MAX(E18:E63)</f>
        <v>0.55000000000000004</v>
      </c>
      <c r="P87" s="306"/>
    </row>
    <row r="88" spans="1:26" ht="18.600000000000001" customHeight="1" x14ac:dyDescent="0.25">
      <c r="A88" s="6"/>
      <c r="B88" s="129"/>
      <c r="C88" s="130"/>
      <c r="D88" s="130"/>
      <c r="E88" s="130"/>
      <c r="F88" s="131"/>
      <c r="G88" s="129"/>
      <c r="H88" s="130"/>
      <c r="I88" s="130"/>
      <c r="J88" s="130"/>
      <c r="K88" s="131"/>
      <c r="L88" s="143"/>
      <c r="M88" s="144"/>
      <c r="N88" s="144"/>
      <c r="O88" s="144"/>
      <c r="P88" s="145"/>
    </row>
    <row r="89" spans="1:26" ht="88.15" customHeight="1" x14ac:dyDescent="0.25">
      <c r="A89" s="10"/>
      <c r="B89" s="129"/>
      <c r="C89" s="130"/>
      <c r="D89" s="130"/>
      <c r="E89" s="130"/>
      <c r="F89" s="131"/>
      <c r="G89" s="129"/>
      <c r="H89" s="130"/>
      <c r="I89" s="130"/>
      <c r="J89" s="130"/>
      <c r="K89" s="131"/>
      <c r="L89" s="146"/>
      <c r="M89" s="147"/>
      <c r="N89" s="147"/>
      <c r="O89" s="147"/>
      <c r="P89" s="148"/>
    </row>
    <row r="90" spans="1:26" ht="15" customHeight="1" thickBot="1" x14ac:dyDescent="0.3">
      <c r="A90" s="5"/>
      <c r="B90" s="129"/>
      <c r="C90" s="130"/>
      <c r="D90" s="130"/>
      <c r="E90" s="130"/>
      <c r="F90" s="131"/>
      <c r="G90" s="129"/>
      <c r="H90" s="130"/>
      <c r="I90" s="130"/>
      <c r="J90" s="130"/>
      <c r="K90" s="131"/>
      <c r="L90" s="149"/>
      <c r="M90" s="150"/>
      <c r="N90" s="150"/>
      <c r="O90" s="150"/>
      <c r="P90" s="151"/>
    </row>
    <row r="91" spans="1:26" ht="15.75" customHeight="1" thickBot="1" x14ac:dyDescent="0.3">
      <c r="A91" s="5"/>
      <c r="B91" s="129"/>
      <c r="C91" s="130"/>
      <c r="D91" s="130"/>
      <c r="E91" s="130"/>
      <c r="F91" s="131"/>
      <c r="G91" s="129"/>
      <c r="H91" s="130"/>
      <c r="I91" s="130"/>
      <c r="J91" s="130"/>
      <c r="K91" s="131"/>
      <c r="L91" s="152" t="s">
        <v>36</v>
      </c>
      <c r="M91" s="153"/>
      <c r="N91" s="153"/>
      <c r="O91" s="153"/>
      <c r="P91" s="97">
        <v>11.61</v>
      </c>
    </row>
    <row r="92" spans="1:26" ht="14.45" customHeight="1" thickBot="1" x14ac:dyDescent="0.3">
      <c r="A92" s="5"/>
      <c r="B92" s="132"/>
      <c r="C92" s="133"/>
      <c r="D92" s="133"/>
      <c r="E92" s="133"/>
      <c r="F92" s="134"/>
      <c r="G92" s="132"/>
      <c r="H92" s="133"/>
      <c r="I92" s="133"/>
      <c r="J92" s="133"/>
      <c r="K92" s="134"/>
      <c r="L92" s="154" t="s">
        <v>52</v>
      </c>
      <c r="M92" s="155"/>
      <c r="N92" s="155"/>
      <c r="O92" s="155"/>
      <c r="P92" s="97"/>
    </row>
    <row r="93" spans="1:26" ht="23.45" customHeight="1" thickBot="1" x14ac:dyDescent="0.3">
      <c r="A93" s="7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</row>
    <row r="94" spans="1:26" ht="15.75" thickBot="1" x14ac:dyDescent="0.3">
      <c r="A94" s="116" t="s">
        <v>37</v>
      </c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8"/>
    </row>
    <row r="95" spans="1:26" ht="159" customHeight="1" thickBot="1" x14ac:dyDescent="0.3">
      <c r="A95" s="4"/>
      <c r="B95" s="119"/>
      <c r="C95" s="120"/>
      <c r="D95" s="120"/>
      <c r="E95" s="120"/>
      <c r="F95" s="121"/>
      <c r="G95" s="119"/>
      <c r="H95" s="120"/>
      <c r="I95" s="120"/>
      <c r="J95" s="120"/>
      <c r="K95" s="121"/>
      <c r="L95" s="119"/>
      <c r="M95" s="120"/>
      <c r="N95" s="120"/>
      <c r="O95" s="120"/>
      <c r="P95" s="122"/>
    </row>
    <row r="96" spans="1:26" ht="21.75" customHeight="1" thickBot="1" x14ac:dyDescent="0.3">
      <c r="A96" s="4"/>
      <c r="B96" s="302" t="s">
        <v>105</v>
      </c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4"/>
    </row>
    <row r="97" spans="1:16" s="9" customFormat="1" ht="16.899999999999999" customHeight="1" thickBot="1" x14ac:dyDescent="0.3">
      <c r="A97" s="8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1"/>
    </row>
    <row r="98" spans="1:16" s="3" customFormat="1" ht="15.75" customHeight="1" thickBot="1" x14ac:dyDescent="0.25">
      <c r="A98" s="112" t="s">
        <v>38</v>
      </c>
      <c r="B98" s="113"/>
      <c r="C98" s="113"/>
      <c r="D98" s="113"/>
      <c r="E98" s="113"/>
      <c r="F98" s="113"/>
      <c r="G98" s="113"/>
      <c r="H98" s="113"/>
      <c r="I98" s="113"/>
      <c r="J98" s="113" t="s">
        <v>39</v>
      </c>
      <c r="K98" s="113"/>
      <c r="L98" s="113"/>
      <c r="M98" s="113"/>
      <c r="N98" s="113"/>
      <c r="O98" s="113"/>
      <c r="P98" s="114"/>
    </row>
  </sheetData>
  <mergeCells count="19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9:M63"/>
    <mergeCell ref="N59:N63"/>
    <mergeCell ref="O59:O63"/>
    <mergeCell ref="P59:P63"/>
    <mergeCell ref="B64:B69"/>
    <mergeCell ref="C64:P69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C70:H70"/>
    <mergeCell ref="I70:I71"/>
    <mergeCell ref="K70:P70"/>
    <mergeCell ref="C71:H71"/>
    <mergeCell ref="K71:P71"/>
    <mergeCell ref="B72:B82"/>
    <mergeCell ref="C72:C76"/>
    <mergeCell ref="D72:D76"/>
    <mergeCell ref="E72:E82"/>
    <mergeCell ref="K72:K82"/>
    <mergeCell ref="B83:J84"/>
    <mergeCell ref="O83:O84"/>
    <mergeCell ref="P83:P84"/>
    <mergeCell ref="B85:F85"/>
    <mergeCell ref="G85:K85"/>
    <mergeCell ref="L85:P85"/>
    <mergeCell ref="L72:L82"/>
    <mergeCell ref="M72:M82"/>
    <mergeCell ref="N72:N82"/>
    <mergeCell ref="O72:O82"/>
    <mergeCell ref="P72:P82"/>
    <mergeCell ref="C77:C82"/>
    <mergeCell ref="D77:D82"/>
    <mergeCell ref="B86:F92"/>
    <mergeCell ref="G86:K92"/>
    <mergeCell ref="L86:N86"/>
    <mergeCell ref="O86:P86"/>
    <mergeCell ref="L87:N87"/>
    <mergeCell ref="O87:P87"/>
    <mergeCell ref="L88:P90"/>
    <mergeCell ref="L91:O91"/>
    <mergeCell ref="L92:O92"/>
    <mergeCell ref="B97:P97"/>
    <mergeCell ref="A98:C98"/>
    <mergeCell ref="D98:I98"/>
    <mergeCell ref="J98:K98"/>
    <mergeCell ref="L98:P98"/>
    <mergeCell ref="B93:P93"/>
    <mergeCell ref="A94:P94"/>
    <mergeCell ref="B95:F95"/>
    <mergeCell ref="G95:K95"/>
    <mergeCell ref="L95:P95"/>
    <mergeCell ref="B96:P9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3"/>
  <sheetViews>
    <sheetView view="pageBreakPreview" zoomScale="80" zoomScaleSheetLayoutView="8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0"/>
      <c r="B2" s="311"/>
      <c r="C2" s="312"/>
      <c r="D2" s="313"/>
      <c r="E2" s="314" t="s">
        <v>121</v>
      </c>
      <c r="F2" s="315"/>
      <c r="G2" s="315"/>
      <c r="H2" s="315"/>
      <c r="I2" s="315"/>
      <c r="J2" s="315"/>
      <c r="K2" s="315"/>
      <c r="L2" s="315"/>
      <c r="M2" s="315"/>
      <c r="N2" s="315"/>
      <c r="O2" s="316"/>
      <c r="P2" s="317"/>
    </row>
    <row r="3" spans="1:26" s="2" customFormat="1" ht="23.25" customHeight="1" thickBot="1" x14ac:dyDescent="0.3">
      <c r="A3" s="310"/>
      <c r="B3" s="318"/>
      <c r="C3" s="319"/>
      <c r="D3" s="320"/>
      <c r="E3" s="321"/>
      <c r="F3" s="322"/>
      <c r="G3" s="322"/>
      <c r="H3" s="322"/>
      <c r="I3" s="322"/>
      <c r="J3" s="322"/>
      <c r="K3" s="322"/>
      <c r="L3" s="322"/>
      <c r="M3" s="322"/>
      <c r="N3" s="322"/>
      <c r="O3" s="323"/>
      <c r="P3" s="324"/>
    </row>
    <row r="4" spans="1:26" s="19" customFormat="1" ht="11.25" customHeight="1" thickBot="1" x14ac:dyDescent="0.3">
      <c r="A4" s="18"/>
      <c r="B4" s="296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297">
        <v>43154</v>
      </c>
      <c r="D5" s="298"/>
      <c r="E5" s="22" t="s">
        <v>1</v>
      </c>
      <c r="F5" s="23">
        <v>4</v>
      </c>
      <c r="G5" s="24" t="s">
        <v>2</v>
      </c>
      <c r="H5" s="299" t="s">
        <v>122</v>
      </c>
      <c r="I5" s="300"/>
      <c r="J5" s="300"/>
      <c r="K5" s="300"/>
      <c r="L5" s="300"/>
      <c r="M5" s="300"/>
      <c r="N5" s="300"/>
      <c r="O5" s="300"/>
      <c r="P5" s="30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0" t="s">
        <v>3</v>
      </c>
      <c r="C6" s="281"/>
      <c r="D6" s="282" t="s">
        <v>120</v>
      </c>
      <c r="E6" s="283"/>
      <c r="F6" s="283"/>
      <c r="G6" s="283"/>
      <c r="H6" s="283"/>
      <c r="I6" s="284"/>
      <c r="J6" s="28" t="s">
        <v>4</v>
      </c>
      <c r="K6" s="285" t="s">
        <v>114</v>
      </c>
      <c r="L6" s="284"/>
      <c r="M6" s="285" t="s">
        <v>115</v>
      </c>
      <c r="N6" s="286"/>
      <c r="O6" s="29" t="s">
        <v>54</v>
      </c>
      <c r="P6" s="30">
        <v>1631</v>
      </c>
    </row>
    <row r="7" spans="1:26" s="26" customFormat="1" ht="21.75" customHeight="1" x14ac:dyDescent="0.25">
      <c r="B7" s="287" t="s">
        <v>55</v>
      </c>
      <c r="C7" s="288" t="s">
        <v>56</v>
      </c>
      <c r="D7" s="258"/>
      <c r="E7" s="32"/>
      <c r="F7" s="289" t="s">
        <v>57</v>
      </c>
      <c r="G7" s="290"/>
      <c r="H7" s="290"/>
      <c r="I7" s="290"/>
      <c r="J7" s="291" t="s">
        <v>58</v>
      </c>
      <c r="K7" s="292"/>
      <c r="L7" s="292"/>
      <c r="M7" s="293"/>
      <c r="N7" s="294" t="s">
        <v>59</v>
      </c>
      <c r="O7" s="295"/>
      <c r="P7" s="33" t="s">
        <v>60</v>
      </c>
    </row>
    <row r="8" spans="1:26" s="26" customFormat="1" ht="21.75" customHeight="1" thickBot="1" x14ac:dyDescent="0.3">
      <c r="B8" s="232"/>
      <c r="C8" s="249" t="s">
        <v>61</v>
      </c>
      <c r="D8" s="248"/>
      <c r="E8" s="34" t="s">
        <v>5</v>
      </c>
      <c r="F8" s="259" t="s">
        <v>6</v>
      </c>
      <c r="G8" s="260"/>
      <c r="H8" s="260"/>
      <c r="I8" s="260"/>
      <c r="J8" s="261"/>
      <c r="K8" s="262"/>
      <c r="L8" s="262"/>
      <c r="M8" s="263"/>
      <c r="N8" s="264"/>
      <c r="O8" s="265"/>
      <c r="P8" s="35"/>
    </row>
    <row r="9" spans="1:26" s="26" customFormat="1" ht="21.75" customHeight="1" x14ac:dyDescent="0.25">
      <c r="B9" s="266" t="s">
        <v>7</v>
      </c>
      <c r="C9" s="269" t="s">
        <v>62</v>
      </c>
      <c r="D9" s="270" t="s">
        <v>63</v>
      </c>
      <c r="E9" s="255"/>
      <c r="F9" s="36"/>
      <c r="G9" s="271" t="s">
        <v>8</v>
      </c>
      <c r="H9" s="272" t="s">
        <v>9</v>
      </c>
      <c r="I9" s="258"/>
      <c r="J9" s="37"/>
      <c r="K9" s="269" t="s">
        <v>64</v>
      </c>
      <c r="L9" s="273" t="s">
        <v>106</v>
      </c>
      <c r="M9" s="274"/>
      <c r="N9" s="275"/>
      <c r="O9" s="275"/>
      <c r="P9" s="276"/>
    </row>
    <row r="10" spans="1:26" s="26" customFormat="1" ht="21.75" customHeight="1" thickBot="1" x14ac:dyDescent="0.3">
      <c r="B10" s="267"/>
      <c r="C10" s="212"/>
      <c r="D10" s="253" t="s">
        <v>65</v>
      </c>
      <c r="E10" s="248"/>
      <c r="F10" s="38" t="s">
        <v>5</v>
      </c>
      <c r="G10" s="212"/>
      <c r="H10" s="253" t="s">
        <v>10</v>
      </c>
      <c r="I10" s="248"/>
      <c r="J10" s="39"/>
      <c r="K10" s="212"/>
      <c r="L10" s="277"/>
      <c r="M10" s="278"/>
      <c r="N10" s="278"/>
      <c r="O10" s="278"/>
      <c r="P10" s="279"/>
    </row>
    <row r="11" spans="1:26" s="26" customFormat="1" ht="21.75" customHeight="1" x14ac:dyDescent="0.25">
      <c r="A11" s="20"/>
      <c r="B11" s="267"/>
      <c r="C11" s="254" t="s">
        <v>11</v>
      </c>
      <c r="D11" s="255"/>
      <c r="E11" s="40">
        <v>0.59236111111111112</v>
      </c>
      <c r="F11" s="256" t="s">
        <v>12</v>
      </c>
      <c r="G11" s="255"/>
      <c r="H11" s="41">
        <v>1.33</v>
      </c>
      <c r="I11" s="257" t="s">
        <v>13</v>
      </c>
      <c r="J11" s="258"/>
      <c r="K11" s="41">
        <v>20</v>
      </c>
      <c r="L11" s="254" t="s">
        <v>14</v>
      </c>
      <c r="M11" s="255"/>
      <c r="N11" s="42">
        <v>3.7</v>
      </c>
      <c r="O11" s="245" t="s">
        <v>66</v>
      </c>
      <c r="P11" s="246"/>
    </row>
    <row r="12" spans="1:26" s="26" customFormat="1" ht="21.75" customHeight="1" thickBot="1" x14ac:dyDescent="0.3">
      <c r="A12" s="20"/>
      <c r="B12" s="268"/>
      <c r="C12" s="247" t="s">
        <v>15</v>
      </c>
      <c r="D12" s="248"/>
      <c r="E12" s="40">
        <v>0.62986111111111109</v>
      </c>
      <c r="F12" s="249" t="s">
        <v>16</v>
      </c>
      <c r="G12" s="248"/>
      <c r="H12" s="41">
        <v>1.33</v>
      </c>
      <c r="I12" s="250" t="s">
        <v>17</v>
      </c>
      <c r="J12" s="248"/>
      <c r="K12" s="40">
        <v>0.58333333333333337</v>
      </c>
      <c r="L12" s="247" t="s">
        <v>18</v>
      </c>
      <c r="M12" s="248"/>
      <c r="N12" s="43">
        <v>0.3</v>
      </c>
      <c r="O12" s="251">
        <v>2.68</v>
      </c>
      <c r="P12" s="252"/>
    </row>
    <row r="13" spans="1:26" s="26" customFormat="1" ht="21.75" customHeight="1" x14ac:dyDescent="0.25">
      <c r="A13" s="20"/>
      <c r="B13" s="230" t="s">
        <v>19</v>
      </c>
      <c r="C13" s="233" t="s">
        <v>67</v>
      </c>
      <c r="D13" s="234"/>
      <c r="E13" s="234"/>
      <c r="F13" s="235" t="s">
        <v>68</v>
      </c>
      <c r="G13" s="234"/>
      <c r="H13" s="234"/>
      <c r="I13" s="234"/>
      <c r="J13" s="235" t="s">
        <v>69</v>
      </c>
      <c r="K13" s="234"/>
      <c r="L13" s="234"/>
      <c r="M13" s="234"/>
      <c r="N13" s="236" t="s">
        <v>70</v>
      </c>
      <c r="O13" s="234"/>
      <c r="P13" s="237"/>
      <c r="Q13" s="44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1"/>
      <c r="C14" s="238" t="s">
        <v>71</v>
      </c>
      <c r="D14" s="239"/>
      <c r="E14" s="239"/>
      <c r="F14" s="240" t="s">
        <v>72</v>
      </c>
      <c r="G14" s="239"/>
      <c r="H14" s="239"/>
      <c r="I14" s="239"/>
      <c r="J14" s="241" t="s">
        <v>73</v>
      </c>
      <c r="K14" s="239"/>
      <c r="L14" s="239"/>
      <c r="M14" s="239"/>
      <c r="N14" s="242"/>
      <c r="O14" s="227"/>
      <c r="P14" s="243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32"/>
      <c r="C15" s="244" t="s">
        <v>74</v>
      </c>
      <c r="D15" s="214"/>
      <c r="E15" s="214"/>
      <c r="F15" s="214" t="s">
        <v>75</v>
      </c>
      <c r="G15" s="215"/>
      <c r="H15" s="215"/>
      <c r="I15" s="215"/>
      <c r="J15" s="214" t="s">
        <v>76</v>
      </c>
      <c r="K15" s="215"/>
      <c r="L15" s="215"/>
      <c r="M15" s="215"/>
      <c r="N15" s="216"/>
      <c r="O15" s="217"/>
      <c r="P15" s="218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19" t="s">
        <v>20</v>
      </c>
      <c r="C16" s="221" t="s">
        <v>21</v>
      </c>
      <c r="D16" s="221" t="s">
        <v>42</v>
      </c>
      <c r="E16" s="223" t="s">
        <v>22</v>
      </c>
      <c r="F16" s="224" t="s">
        <v>43</v>
      </c>
      <c r="G16" s="225"/>
      <c r="H16" s="221" t="s">
        <v>77</v>
      </c>
      <c r="I16" s="228" t="s">
        <v>78</v>
      </c>
      <c r="J16" s="96" t="s">
        <v>44</v>
      </c>
      <c r="K16" s="45"/>
      <c r="L16" s="46" t="s">
        <v>45</v>
      </c>
      <c r="M16" s="46" t="s">
        <v>46</v>
      </c>
      <c r="N16" s="46" t="s">
        <v>46</v>
      </c>
      <c r="O16" s="46" t="s">
        <v>47</v>
      </c>
      <c r="P16" s="47" t="s">
        <v>23</v>
      </c>
    </row>
    <row r="17" spans="1:26" s="26" customFormat="1" ht="21.75" customHeight="1" thickBot="1" x14ac:dyDescent="0.3">
      <c r="A17" s="48"/>
      <c r="B17" s="220"/>
      <c r="C17" s="222"/>
      <c r="D17" s="222"/>
      <c r="E17" s="222"/>
      <c r="F17" s="226"/>
      <c r="G17" s="227"/>
      <c r="H17" s="222"/>
      <c r="I17" s="229"/>
      <c r="J17" s="49" t="s">
        <v>24</v>
      </c>
      <c r="K17" s="50" t="s">
        <v>25</v>
      </c>
      <c r="L17" s="50" t="s">
        <v>48</v>
      </c>
      <c r="M17" s="50" t="s">
        <v>49</v>
      </c>
      <c r="N17" s="50" t="s">
        <v>26</v>
      </c>
      <c r="O17" s="50" t="s">
        <v>27</v>
      </c>
      <c r="P17" s="51" t="s">
        <v>28</v>
      </c>
    </row>
    <row r="18" spans="1:26" s="60" customFormat="1" ht="21.75" customHeight="1" thickBot="1" x14ac:dyDescent="0.3">
      <c r="A18" s="52"/>
      <c r="B18" s="53"/>
      <c r="C18" s="54">
        <f>+O12</f>
        <v>2.68</v>
      </c>
      <c r="D18" s="54"/>
      <c r="E18" s="55">
        <v>0.26900000000000002</v>
      </c>
      <c r="F18" s="56"/>
      <c r="G18" s="95"/>
      <c r="H18" s="57"/>
      <c r="I18" s="58"/>
      <c r="J18" s="94"/>
      <c r="K18" s="55"/>
      <c r="L18" s="55"/>
      <c r="M18" s="55"/>
      <c r="N18" s="55"/>
      <c r="O18" s="55"/>
      <c r="P18" s="59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s="60" customFormat="1" ht="13.5" customHeight="1" x14ac:dyDescent="0.25">
      <c r="A19" s="52"/>
      <c r="B19" s="210">
        <v>1</v>
      </c>
      <c r="C19" s="213">
        <f>+C18+$N$12</f>
        <v>2.98</v>
      </c>
      <c r="D19" s="190">
        <v>0.48</v>
      </c>
      <c r="E19" s="190">
        <v>0.34799999999999998</v>
      </c>
      <c r="F19" s="61" t="s">
        <v>79</v>
      </c>
      <c r="G19" s="62">
        <v>0</v>
      </c>
      <c r="H19" s="63"/>
      <c r="I19" s="64"/>
      <c r="J19" s="65">
        <v>0.04</v>
      </c>
      <c r="K19" s="190">
        <f>+IF(E19&lt;=0.12,(J21),(IF(E19&lt;0.16,((J20+2*J21+J22)/4),IF(E19&gt;=0.16,((J19+3*J20+2*J21+3*J22+J23)/10)))))</f>
        <v>7.9200000000000007E-2</v>
      </c>
      <c r="L19" s="190">
        <f>ROUND(+(D18+D19)/2*(C19-C18),3)</f>
        <v>7.1999999999999995E-2</v>
      </c>
      <c r="M19" s="190">
        <f>ROUND(+K19*L19,4)</f>
        <v>5.7000000000000002E-3</v>
      </c>
      <c r="N19" s="193">
        <f>ROUND(+M19/$M$98*100,2)</f>
        <v>5.22</v>
      </c>
      <c r="O19" s="194"/>
      <c r="P19" s="195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s="60" customFormat="1" ht="13.5" customHeight="1" x14ac:dyDescent="0.25">
      <c r="A20" s="52"/>
      <c r="B20" s="211"/>
      <c r="C20" s="191"/>
      <c r="D20" s="191"/>
      <c r="E20" s="191"/>
      <c r="F20" s="66" t="s">
        <v>80</v>
      </c>
      <c r="G20" s="67">
        <f t="shared" ref="G20" si="0">IF(E19&lt;0.125,"NA",IF(0.125&lt;=E19,(0.2*E19)))</f>
        <v>6.9599999999999995E-2</v>
      </c>
      <c r="H20" s="68"/>
      <c r="I20" s="69"/>
      <c r="J20" s="70">
        <v>4.3999999999999997E-2</v>
      </c>
      <c r="K20" s="191"/>
      <c r="L20" s="191"/>
      <c r="M20" s="191"/>
      <c r="N20" s="191"/>
      <c r="O20" s="191"/>
      <c r="P20" s="196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s="60" customFormat="1" ht="13.5" customHeight="1" x14ac:dyDescent="0.25">
      <c r="A21" s="52"/>
      <c r="B21" s="211"/>
      <c r="C21" s="191"/>
      <c r="D21" s="191"/>
      <c r="E21" s="191"/>
      <c r="F21" s="66" t="s">
        <v>81</v>
      </c>
      <c r="G21" s="67">
        <f t="shared" ref="G21" si="1">+E19*0.4</f>
        <v>0.13919999999999999</v>
      </c>
      <c r="H21" s="68"/>
      <c r="I21" s="69"/>
      <c r="J21" s="70">
        <v>6.4000000000000001E-2</v>
      </c>
      <c r="K21" s="191"/>
      <c r="L21" s="191"/>
      <c r="M21" s="191"/>
      <c r="N21" s="191"/>
      <c r="O21" s="191"/>
      <c r="P21" s="196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s="60" customFormat="1" ht="13.5" customHeight="1" x14ac:dyDescent="0.25">
      <c r="A22" s="52"/>
      <c r="B22" s="211"/>
      <c r="C22" s="191"/>
      <c r="D22" s="191"/>
      <c r="E22" s="191"/>
      <c r="F22" s="66" t="s">
        <v>82</v>
      </c>
      <c r="G22" s="67">
        <f t="shared" ref="G22" si="2">IF(E19&lt;0.125,"NA",IF(0.125&lt;=E19,(0.8*E19)))</f>
        <v>0.27839999999999998</v>
      </c>
      <c r="H22" s="68"/>
      <c r="I22" s="69"/>
      <c r="J22" s="70">
        <v>0.115</v>
      </c>
      <c r="K22" s="191"/>
      <c r="L22" s="191"/>
      <c r="M22" s="191"/>
      <c r="N22" s="191"/>
      <c r="O22" s="191"/>
      <c r="P22" s="196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s="60" customFormat="1" ht="13.5" customHeight="1" thickBot="1" x14ac:dyDescent="0.3">
      <c r="A23" s="52"/>
      <c r="B23" s="212"/>
      <c r="C23" s="192"/>
      <c r="D23" s="192"/>
      <c r="E23" s="192"/>
      <c r="F23" s="71" t="s">
        <v>83</v>
      </c>
      <c r="G23" s="72">
        <f t="shared" ref="G23" si="3">+E19</f>
        <v>0.34799999999999998</v>
      </c>
      <c r="H23" s="73"/>
      <c r="I23" s="74"/>
      <c r="J23" s="75">
        <v>0.14699999999999999</v>
      </c>
      <c r="K23" s="192"/>
      <c r="L23" s="192"/>
      <c r="M23" s="192"/>
      <c r="N23" s="192"/>
      <c r="O23" s="192"/>
      <c r="P23" s="197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s="60" customFormat="1" ht="13.5" customHeight="1" x14ac:dyDescent="0.25">
      <c r="A24" s="52"/>
      <c r="B24" s="210">
        <v>2</v>
      </c>
      <c r="C24" s="213">
        <f>+C19+$N$12</f>
        <v>3.28</v>
      </c>
      <c r="D24" s="190">
        <v>0.41199999999999998</v>
      </c>
      <c r="E24" s="190">
        <v>0.443</v>
      </c>
      <c r="F24" s="61" t="s">
        <v>79</v>
      </c>
      <c r="G24" s="62">
        <v>0</v>
      </c>
      <c r="H24" s="63"/>
      <c r="I24" s="64"/>
      <c r="J24" s="65"/>
      <c r="K24" s="190"/>
      <c r="L24" s="190"/>
      <c r="M24" s="190"/>
      <c r="N24" s="193"/>
      <c r="O24" s="194"/>
      <c r="P24" s="195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s="60" customFormat="1" ht="13.5" customHeight="1" x14ac:dyDescent="0.25">
      <c r="A25" s="52"/>
      <c r="B25" s="211"/>
      <c r="C25" s="191"/>
      <c r="D25" s="191"/>
      <c r="E25" s="191"/>
      <c r="F25" s="66" t="s">
        <v>80</v>
      </c>
      <c r="G25" s="67">
        <f t="shared" ref="G25" si="4">IF(E24&lt;0.125,"NA",IF(0.125&lt;=E24,(0.2*E24)))</f>
        <v>8.8600000000000012E-2</v>
      </c>
      <c r="H25" s="68"/>
      <c r="I25" s="69"/>
      <c r="J25" s="70"/>
      <c r="K25" s="191"/>
      <c r="L25" s="191"/>
      <c r="M25" s="191"/>
      <c r="N25" s="191"/>
      <c r="O25" s="191"/>
      <c r="P25" s="196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s="60" customFormat="1" ht="13.5" customHeight="1" x14ac:dyDescent="0.25">
      <c r="A26" s="52"/>
      <c r="B26" s="211"/>
      <c r="C26" s="191"/>
      <c r="D26" s="191"/>
      <c r="E26" s="191"/>
      <c r="F26" s="66" t="s">
        <v>81</v>
      </c>
      <c r="G26" s="67">
        <f t="shared" ref="G26" si="5">+E24*0.4</f>
        <v>0.17720000000000002</v>
      </c>
      <c r="H26" s="68"/>
      <c r="I26" s="69"/>
      <c r="J26" s="70"/>
      <c r="K26" s="191"/>
      <c r="L26" s="191"/>
      <c r="M26" s="191"/>
      <c r="N26" s="191"/>
      <c r="O26" s="191"/>
      <c r="P26" s="196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s="60" customFormat="1" ht="13.5" customHeight="1" x14ac:dyDescent="0.25">
      <c r="A27" s="52"/>
      <c r="B27" s="211"/>
      <c r="C27" s="191"/>
      <c r="D27" s="191"/>
      <c r="E27" s="191"/>
      <c r="F27" s="66" t="s">
        <v>82</v>
      </c>
      <c r="G27" s="67">
        <f t="shared" ref="G27" si="6">IF(E24&lt;0.125,"NA",IF(0.125&lt;=E24,(0.8*E24)))</f>
        <v>0.35440000000000005</v>
      </c>
      <c r="H27" s="68"/>
      <c r="I27" s="69"/>
      <c r="J27" s="70"/>
      <c r="K27" s="191"/>
      <c r="L27" s="191"/>
      <c r="M27" s="191"/>
      <c r="N27" s="191"/>
      <c r="O27" s="191"/>
      <c r="P27" s="196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s="60" customFormat="1" ht="13.5" customHeight="1" thickBot="1" x14ac:dyDescent="0.3">
      <c r="A28" s="52"/>
      <c r="B28" s="212"/>
      <c r="C28" s="192"/>
      <c r="D28" s="192"/>
      <c r="E28" s="192"/>
      <c r="F28" s="71" t="s">
        <v>83</v>
      </c>
      <c r="G28" s="72">
        <f t="shared" ref="G28" si="7">+E24</f>
        <v>0.443</v>
      </c>
      <c r="H28" s="73"/>
      <c r="I28" s="74"/>
      <c r="J28" s="75"/>
      <c r="K28" s="192"/>
      <c r="L28" s="192"/>
      <c r="M28" s="192"/>
      <c r="N28" s="192"/>
      <c r="O28" s="192"/>
      <c r="P28" s="197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s="60" customFormat="1" ht="13.5" customHeight="1" x14ac:dyDescent="0.25">
      <c r="A29" s="52"/>
      <c r="B29" s="210">
        <v>3</v>
      </c>
      <c r="C29" s="213">
        <f>+C24+$N$12</f>
        <v>3.5799999999999996</v>
      </c>
      <c r="D29" s="190">
        <v>0.377</v>
      </c>
      <c r="E29" s="190">
        <v>0.39300000000000002</v>
      </c>
      <c r="F29" s="61" t="s">
        <v>79</v>
      </c>
      <c r="G29" s="62">
        <v>0</v>
      </c>
      <c r="H29" s="63"/>
      <c r="I29" s="64"/>
      <c r="J29" s="65">
        <v>6.0000000000000001E-3</v>
      </c>
      <c r="K29" s="190">
        <f t="shared" ref="K29" si="8">+IF(E29&lt;=0.12,(J31),(IF(E29&lt;0.16,((J30+2*J31+J32)/4),IF(E29&gt;=0.16,((J29+3*J30+2*J31+3*J32+J33)/10)))))</f>
        <v>5.5500000000000008E-2</v>
      </c>
      <c r="L29" s="190">
        <f t="shared" ref="L29" si="9">ROUND(+(D24+D29)/2*(C29-C24),3)</f>
        <v>0.11799999999999999</v>
      </c>
      <c r="M29" s="190">
        <f t="shared" ref="M29" si="10">ROUND(+K29*L29,4)</f>
        <v>6.4999999999999997E-3</v>
      </c>
      <c r="N29" s="193">
        <f t="shared" ref="N29" si="11">ROUND(+M29/$M$98*100,2)</f>
        <v>5.95</v>
      </c>
      <c r="O29" s="194"/>
      <c r="P29" s="195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s="60" customFormat="1" ht="13.5" customHeight="1" x14ac:dyDescent="0.25">
      <c r="A30" s="52"/>
      <c r="B30" s="211"/>
      <c r="C30" s="191"/>
      <c r="D30" s="191"/>
      <c r="E30" s="191"/>
      <c r="F30" s="66" t="s">
        <v>80</v>
      </c>
      <c r="G30" s="67">
        <f t="shared" ref="G30" si="12">IF(E29&lt;0.125,"NA",IF(0.125&lt;=E29,(0.2*E29)))</f>
        <v>7.8600000000000003E-2</v>
      </c>
      <c r="H30" s="68"/>
      <c r="I30" s="69"/>
      <c r="J30" s="70">
        <v>0.01</v>
      </c>
      <c r="K30" s="191"/>
      <c r="L30" s="191"/>
      <c r="M30" s="191"/>
      <c r="N30" s="191"/>
      <c r="O30" s="191"/>
      <c r="P30" s="196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s="60" customFormat="1" ht="13.5" customHeight="1" x14ac:dyDescent="0.25">
      <c r="A31" s="52"/>
      <c r="B31" s="211"/>
      <c r="C31" s="191"/>
      <c r="D31" s="191"/>
      <c r="E31" s="191"/>
      <c r="F31" s="66" t="s">
        <v>81</v>
      </c>
      <c r="G31" s="67">
        <f t="shared" ref="G31" si="13">+E29*0.4</f>
        <v>0.15720000000000001</v>
      </c>
      <c r="H31" s="68"/>
      <c r="I31" s="69"/>
      <c r="J31" s="70">
        <v>5.0999999999999997E-2</v>
      </c>
      <c r="K31" s="191"/>
      <c r="L31" s="191"/>
      <c r="M31" s="191"/>
      <c r="N31" s="191"/>
      <c r="O31" s="191"/>
      <c r="P31" s="196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s="60" customFormat="1" ht="13.5" customHeight="1" x14ac:dyDescent="0.25">
      <c r="A32" s="52"/>
      <c r="B32" s="211"/>
      <c r="C32" s="191"/>
      <c r="D32" s="191"/>
      <c r="E32" s="191"/>
      <c r="F32" s="66" t="s">
        <v>82</v>
      </c>
      <c r="G32" s="67">
        <f t="shared" ref="G32" si="14">IF(E29&lt;0.125,"NA",IF(0.125&lt;=E29,(0.8*E29)))</f>
        <v>0.31440000000000001</v>
      </c>
      <c r="H32" s="68"/>
      <c r="I32" s="69"/>
      <c r="J32" s="70">
        <v>8.3000000000000004E-2</v>
      </c>
      <c r="K32" s="191"/>
      <c r="L32" s="191"/>
      <c r="M32" s="191"/>
      <c r="N32" s="191"/>
      <c r="O32" s="191"/>
      <c r="P32" s="196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60" customFormat="1" ht="13.5" customHeight="1" thickBot="1" x14ac:dyDescent="0.3">
      <c r="A33" s="52"/>
      <c r="B33" s="212"/>
      <c r="C33" s="192"/>
      <c r="D33" s="192"/>
      <c r="E33" s="192"/>
      <c r="F33" s="71" t="s">
        <v>83</v>
      </c>
      <c r="G33" s="72">
        <f t="shared" ref="G33" si="15">+E29</f>
        <v>0.39300000000000002</v>
      </c>
      <c r="H33" s="73"/>
      <c r="I33" s="74"/>
      <c r="J33" s="75">
        <v>0.16800000000000001</v>
      </c>
      <c r="K33" s="192"/>
      <c r="L33" s="192"/>
      <c r="M33" s="192"/>
      <c r="N33" s="192"/>
      <c r="O33" s="192"/>
      <c r="P33" s="197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60" customFormat="1" ht="13.5" customHeight="1" x14ac:dyDescent="0.25">
      <c r="A34" s="52"/>
      <c r="B34" s="210">
        <v>4</v>
      </c>
      <c r="C34" s="213">
        <f>+C29+$N$12</f>
        <v>3.8799999999999994</v>
      </c>
      <c r="D34" s="190">
        <v>0.38400000000000001</v>
      </c>
      <c r="E34" s="190">
        <v>0.38</v>
      </c>
      <c r="F34" s="61" t="s">
        <v>79</v>
      </c>
      <c r="G34" s="62">
        <v>0</v>
      </c>
      <c r="H34" s="63"/>
      <c r="I34" s="64"/>
      <c r="J34" s="65">
        <v>1E-3</v>
      </c>
      <c r="K34" s="190">
        <f t="shared" ref="K34" si="16">+IF(E34&lt;=0.12,(J36),(IF(E34&lt;0.16,((J35+2*J36+J37)/4),IF(E34&gt;=0.16,((J34+3*J35+2*J36+3*J37+J38)/10)))))</f>
        <v>7.0300000000000001E-2</v>
      </c>
      <c r="L34" s="190">
        <f t="shared" ref="L34" si="17">ROUND(+(D29+D34)/2*(C34-C29),3)</f>
        <v>0.114</v>
      </c>
      <c r="M34" s="190">
        <f t="shared" ref="M34" si="18">ROUND(+K34*L34,4)</f>
        <v>8.0000000000000002E-3</v>
      </c>
      <c r="N34" s="193">
        <f t="shared" ref="N34" si="19">ROUND(+M34/$M$98*100,2)</f>
        <v>7.32</v>
      </c>
      <c r="O34" s="194"/>
      <c r="P34" s="195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s="60" customFormat="1" ht="13.5" customHeight="1" x14ac:dyDescent="0.25">
      <c r="A35" s="52"/>
      <c r="B35" s="211"/>
      <c r="C35" s="191"/>
      <c r="D35" s="191"/>
      <c r="E35" s="191"/>
      <c r="F35" s="66" t="s">
        <v>80</v>
      </c>
      <c r="G35" s="67">
        <f t="shared" ref="G35" si="20">IF(E34&lt;0.125,"NA",IF(0.125&lt;=E34,(0.2*E34)))</f>
        <v>7.6000000000000012E-2</v>
      </c>
      <c r="H35" s="68"/>
      <c r="I35" s="69"/>
      <c r="J35" s="70">
        <v>3.2000000000000001E-2</v>
      </c>
      <c r="K35" s="191"/>
      <c r="L35" s="191"/>
      <c r="M35" s="191"/>
      <c r="N35" s="191"/>
      <c r="O35" s="191"/>
      <c r="P35" s="196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s="60" customFormat="1" ht="13.5" customHeight="1" x14ac:dyDescent="0.25">
      <c r="A36" s="52"/>
      <c r="B36" s="211"/>
      <c r="C36" s="191"/>
      <c r="D36" s="191"/>
      <c r="E36" s="191"/>
      <c r="F36" s="66" t="s">
        <v>81</v>
      </c>
      <c r="G36" s="67">
        <f t="shared" ref="G36" si="21">+E34*0.4</f>
        <v>0.15200000000000002</v>
      </c>
      <c r="H36" s="68"/>
      <c r="I36" s="69"/>
      <c r="J36" s="70">
        <v>4.9000000000000002E-2</v>
      </c>
      <c r="K36" s="191"/>
      <c r="L36" s="191"/>
      <c r="M36" s="191"/>
      <c r="N36" s="191"/>
      <c r="O36" s="191"/>
      <c r="P36" s="196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s="60" customFormat="1" ht="13.5" customHeight="1" x14ac:dyDescent="0.25">
      <c r="A37" s="52"/>
      <c r="B37" s="211"/>
      <c r="C37" s="191"/>
      <c r="D37" s="191"/>
      <c r="E37" s="191"/>
      <c r="F37" s="66" t="s">
        <v>82</v>
      </c>
      <c r="G37" s="67">
        <f t="shared" ref="G37" si="22">IF(E34&lt;0.125,"NA",IF(0.125&lt;=E34,(0.8*E34)))</f>
        <v>0.30400000000000005</v>
      </c>
      <c r="H37" s="68"/>
      <c r="I37" s="69"/>
      <c r="J37" s="70">
        <v>0.113</v>
      </c>
      <c r="K37" s="191"/>
      <c r="L37" s="191"/>
      <c r="M37" s="191"/>
      <c r="N37" s="191"/>
      <c r="O37" s="191"/>
      <c r="P37" s="196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s="60" customFormat="1" ht="13.5" customHeight="1" thickBot="1" x14ac:dyDescent="0.3">
      <c r="A38" s="52"/>
      <c r="B38" s="212"/>
      <c r="C38" s="192"/>
      <c r="D38" s="192"/>
      <c r="E38" s="192"/>
      <c r="F38" s="71" t="s">
        <v>83</v>
      </c>
      <c r="G38" s="72">
        <f t="shared" ref="G38" si="23">+E34</f>
        <v>0.38</v>
      </c>
      <c r="H38" s="73"/>
      <c r="I38" s="74"/>
      <c r="J38" s="75">
        <v>0.16900000000000001</v>
      </c>
      <c r="K38" s="192"/>
      <c r="L38" s="192"/>
      <c r="M38" s="192"/>
      <c r="N38" s="192"/>
      <c r="O38" s="192"/>
      <c r="P38" s="197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s="60" customFormat="1" ht="13.5" customHeight="1" x14ac:dyDescent="0.25">
      <c r="A39" s="52"/>
      <c r="B39" s="210">
        <v>5</v>
      </c>
      <c r="C39" s="213">
        <f>+C34+$N$12</f>
        <v>4.18</v>
      </c>
      <c r="D39" s="190">
        <v>0.34799999999999998</v>
      </c>
      <c r="E39" s="190">
        <v>0.39900000000000002</v>
      </c>
      <c r="F39" s="61" t="s">
        <v>79</v>
      </c>
      <c r="G39" s="62">
        <v>0</v>
      </c>
      <c r="H39" s="63"/>
      <c r="I39" s="64"/>
      <c r="J39" s="65">
        <v>3.5999999999999997E-2</v>
      </c>
      <c r="K39" s="190">
        <f t="shared" ref="K39" si="24">+IF(E39&lt;=0.12,(J41),(IF(E39&lt;0.16,((J40+2*J41+J42)/4),IF(E39&gt;=0.16,((J39+3*J40+2*J41+3*J42+J43)/10)))))</f>
        <v>0.1089</v>
      </c>
      <c r="L39" s="190">
        <f t="shared" ref="L39" si="25">ROUND(+(D34+D39)/2*(C39-C34),3)</f>
        <v>0.11</v>
      </c>
      <c r="M39" s="190">
        <f t="shared" ref="M39" si="26">ROUND(+K39*L39,4)</f>
        <v>1.2E-2</v>
      </c>
      <c r="N39" s="193">
        <f t="shared" ref="N39" si="27">ROUND(+M39/$M$98*100,2)</f>
        <v>10.98</v>
      </c>
      <c r="O39" s="194"/>
      <c r="P39" s="195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s="60" customFormat="1" ht="13.5" customHeight="1" x14ac:dyDescent="0.25">
      <c r="A40" s="52"/>
      <c r="B40" s="211"/>
      <c r="C40" s="191"/>
      <c r="D40" s="191"/>
      <c r="E40" s="191"/>
      <c r="F40" s="66" t="s">
        <v>80</v>
      </c>
      <c r="G40" s="67">
        <f t="shared" ref="G40" si="28">IF(E39&lt;0.125,"NA",IF(0.125&lt;=E39,(0.2*E39)))</f>
        <v>7.980000000000001E-2</v>
      </c>
      <c r="H40" s="68"/>
      <c r="I40" s="69"/>
      <c r="J40" s="70">
        <v>9.1999999999999998E-2</v>
      </c>
      <c r="K40" s="191"/>
      <c r="L40" s="191"/>
      <c r="M40" s="191"/>
      <c r="N40" s="191"/>
      <c r="O40" s="191"/>
      <c r="P40" s="196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s="60" customFormat="1" ht="13.5" customHeight="1" x14ac:dyDescent="0.25">
      <c r="A41" s="52"/>
      <c r="B41" s="211"/>
      <c r="C41" s="191"/>
      <c r="D41" s="191"/>
      <c r="E41" s="191"/>
      <c r="F41" s="66" t="s">
        <v>81</v>
      </c>
      <c r="G41" s="67">
        <f t="shared" ref="G41" si="29">+E39*0.4</f>
        <v>0.15960000000000002</v>
      </c>
      <c r="H41" s="68"/>
      <c r="I41" s="69"/>
      <c r="J41" s="70">
        <v>0.115</v>
      </c>
      <c r="K41" s="191"/>
      <c r="L41" s="191"/>
      <c r="M41" s="191"/>
      <c r="N41" s="191"/>
      <c r="O41" s="191"/>
      <c r="P41" s="196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s="60" customFormat="1" ht="13.5" customHeight="1" x14ac:dyDescent="0.25">
      <c r="A42" s="52"/>
      <c r="B42" s="211"/>
      <c r="C42" s="191"/>
      <c r="D42" s="191"/>
      <c r="E42" s="191"/>
      <c r="F42" s="66" t="s">
        <v>82</v>
      </c>
      <c r="G42" s="67">
        <f t="shared" ref="G42" si="30">IF(E39&lt;0.125,"NA",IF(0.125&lt;=E39,(0.8*E39)))</f>
        <v>0.31920000000000004</v>
      </c>
      <c r="H42" s="68"/>
      <c r="I42" s="69"/>
      <c r="J42" s="70">
        <v>0.13700000000000001</v>
      </c>
      <c r="K42" s="191"/>
      <c r="L42" s="191"/>
      <c r="M42" s="191"/>
      <c r="N42" s="191"/>
      <c r="O42" s="191"/>
      <c r="P42" s="196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s="60" customFormat="1" ht="13.5" customHeight="1" thickBot="1" x14ac:dyDescent="0.3">
      <c r="A43" s="52"/>
      <c r="B43" s="212"/>
      <c r="C43" s="192"/>
      <c r="D43" s="192"/>
      <c r="E43" s="192"/>
      <c r="F43" s="71" t="s">
        <v>83</v>
      </c>
      <c r="G43" s="72">
        <f t="shared" ref="G43" si="31">+E39</f>
        <v>0.39900000000000002</v>
      </c>
      <c r="H43" s="73"/>
      <c r="I43" s="74"/>
      <c r="J43" s="75">
        <v>0.13600000000000001</v>
      </c>
      <c r="K43" s="192"/>
      <c r="L43" s="192"/>
      <c r="M43" s="192"/>
      <c r="N43" s="192"/>
      <c r="O43" s="192"/>
      <c r="P43" s="197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s="60" customFormat="1" ht="13.5" customHeight="1" x14ac:dyDescent="0.25">
      <c r="A44" s="52"/>
      <c r="B44" s="210">
        <v>6</v>
      </c>
      <c r="C44" s="213">
        <f>+C39+$N$12</f>
        <v>4.4799999999999995</v>
      </c>
      <c r="D44" s="190">
        <v>0.38200000000000001</v>
      </c>
      <c r="E44" s="190">
        <v>0.33900000000000002</v>
      </c>
      <c r="F44" s="61" t="s">
        <v>79</v>
      </c>
      <c r="G44" s="62">
        <v>0</v>
      </c>
      <c r="H44" s="63"/>
      <c r="I44" s="64"/>
      <c r="J44" s="65">
        <v>3.5000000000000003E-2</v>
      </c>
      <c r="K44" s="190">
        <f t="shared" ref="K44" si="32">+IF(E44&lt;=0.12,(J46),(IF(E44&lt;0.16,((J45+2*J46+J47)/4),IF(E44&gt;=0.16,((J44+3*J45+2*J46+3*J47+J48)/10)))))</f>
        <v>9.0300000000000005E-2</v>
      </c>
      <c r="L44" s="190">
        <f t="shared" ref="L44" si="33">ROUND(+(D39+D44)/2*(C44-C39),3)</f>
        <v>0.11</v>
      </c>
      <c r="M44" s="190">
        <f t="shared" ref="M44" si="34">ROUND(+K44*L44,4)</f>
        <v>9.9000000000000008E-3</v>
      </c>
      <c r="N44" s="193">
        <f t="shared" ref="N44" si="35">ROUND(+M44/$M$98*100,2)</f>
        <v>9.06</v>
      </c>
      <c r="O44" s="194"/>
      <c r="P44" s="195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s="60" customFormat="1" ht="13.5" customHeight="1" x14ac:dyDescent="0.25">
      <c r="A45" s="52"/>
      <c r="B45" s="211"/>
      <c r="C45" s="191"/>
      <c r="D45" s="191"/>
      <c r="E45" s="191"/>
      <c r="F45" s="66" t="s">
        <v>80</v>
      </c>
      <c r="G45" s="67">
        <f t="shared" ref="G45" si="36">IF(E44&lt;0.125,"NA",IF(0.125&lt;=E44,(0.2*E44)))</f>
        <v>6.7800000000000013E-2</v>
      </c>
      <c r="H45" s="68"/>
      <c r="I45" s="69"/>
      <c r="J45" s="70">
        <v>7.0000000000000007E-2</v>
      </c>
      <c r="K45" s="191"/>
      <c r="L45" s="191"/>
      <c r="M45" s="191"/>
      <c r="N45" s="191"/>
      <c r="O45" s="191"/>
      <c r="P45" s="196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s="60" customFormat="1" ht="13.5" customHeight="1" x14ac:dyDescent="0.25">
      <c r="A46" s="52"/>
      <c r="B46" s="211"/>
      <c r="C46" s="191"/>
      <c r="D46" s="191"/>
      <c r="E46" s="191"/>
      <c r="F46" s="66" t="s">
        <v>81</v>
      </c>
      <c r="G46" s="67">
        <f t="shared" ref="G46" si="37">+E44*0.4</f>
        <v>0.13560000000000003</v>
      </c>
      <c r="H46" s="68"/>
      <c r="I46" s="69"/>
      <c r="J46" s="70">
        <v>5.8000000000000003E-2</v>
      </c>
      <c r="K46" s="191"/>
      <c r="L46" s="191"/>
      <c r="M46" s="191"/>
      <c r="N46" s="191"/>
      <c r="O46" s="191"/>
      <c r="P46" s="196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s="60" customFormat="1" ht="13.5" customHeight="1" x14ac:dyDescent="0.25">
      <c r="A47" s="52"/>
      <c r="B47" s="211"/>
      <c r="C47" s="191"/>
      <c r="D47" s="191"/>
      <c r="E47" s="191"/>
      <c r="F47" s="66" t="s">
        <v>82</v>
      </c>
      <c r="G47" s="67">
        <f t="shared" ref="G47" si="38">IF(E44&lt;0.125,"NA",IF(0.125&lt;=E44,(0.8*E44)))</f>
        <v>0.27120000000000005</v>
      </c>
      <c r="H47" s="68"/>
      <c r="I47" s="69"/>
      <c r="J47" s="70">
        <v>0.127</v>
      </c>
      <c r="K47" s="191"/>
      <c r="L47" s="191"/>
      <c r="M47" s="191"/>
      <c r="N47" s="191"/>
      <c r="O47" s="191"/>
      <c r="P47" s="196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s="60" customFormat="1" ht="13.5" customHeight="1" thickBot="1" x14ac:dyDescent="0.3">
      <c r="A48" s="52"/>
      <c r="B48" s="212"/>
      <c r="C48" s="192"/>
      <c r="D48" s="192"/>
      <c r="E48" s="192"/>
      <c r="F48" s="71" t="s">
        <v>83</v>
      </c>
      <c r="G48" s="72">
        <f t="shared" ref="G48" si="39">+E44</f>
        <v>0.33900000000000002</v>
      </c>
      <c r="H48" s="73"/>
      <c r="I48" s="74"/>
      <c r="J48" s="75">
        <v>0.161</v>
      </c>
      <c r="K48" s="192"/>
      <c r="L48" s="192"/>
      <c r="M48" s="192"/>
      <c r="N48" s="192"/>
      <c r="O48" s="192"/>
      <c r="P48" s="197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s="60" customFormat="1" ht="13.5" customHeight="1" x14ac:dyDescent="0.25">
      <c r="A49" s="52"/>
      <c r="B49" s="210">
        <v>7</v>
      </c>
      <c r="C49" s="213">
        <f>+C44+$N$12</f>
        <v>4.7799999999999994</v>
      </c>
      <c r="D49" s="190">
        <v>0.26900000000000002</v>
      </c>
      <c r="E49" s="190">
        <v>0.36299999999999999</v>
      </c>
      <c r="F49" s="61" t="s">
        <v>79</v>
      </c>
      <c r="G49" s="62">
        <v>0</v>
      </c>
      <c r="H49" s="63"/>
      <c r="I49" s="64"/>
      <c r="J49" s="65">
        <v>0.21</v>
      </c>
      <c r="K49" s="190">
        <f t="shared" ref="K49" si="40">+IF(E49&lt;=0.12,(J51),(IF(E49&lt;0.16,((J50+2*J51+J52)/4),IF(E49&gt;=0.16,((J49+3*J50+2*J51+3*J52+J53)/10)))))</f>
        <v>0.1799</v>
      </c>
      <c r="L49" s="190">
        <f t="shared" ref="L49" si="41">ROUND(+(D44+D49)/2*(C49-C44),3)</f>
        <v>9.8000000000000004E-2</v>
      </c>
      <c r="M49" s="190">
        <f t="shared" ref="M49" si="42">ROUND(+K49*L49,4)</f>
        <v>1.7600000000000001E-2</v>
      </c>
      <c r="N49" s="193">
        <f t="shared" ref="N49" si="43">ROUND(+M49/$M$98*100,2)</f>
        <v>16.100000000000001</v>
      </c>
      <c r="O49" s="194"/>
      <c r="P49" s="195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s="60" customFormat="1" ht="13.5" customHeight="1" x14ac:dyDescent="0.25">
      <c r="A50" s="52"/>
      <c r="B50" s="211"/>
      <c r="C50" s="191"/>
      <c r="D50" s="191"/>
      <c r="E50" s="191"/>
      <c r="F50" s="66" t="s">
        <v>80</v>
      </c>
      <c r="G50" s="67">
        <f t="shared" ref="G50" si="44">IF(E49&lt;0.125,"NA",IF(0.125&lt;=E49,(0.2*E49)))</f>
        <v>7.2599999999999998E-2</v>
      </c>
      <c r="H50" s="68"/>
      <c r="I50" s="69"/>
      <c r="J50" s="70">
        <v>4.4999999999999998E-2</v>
      </c>
      <c r="K50" s="191"/>
      <c r="L50" s="191"/>
      <c r="M50" s="191"/>
      <c r="N50" s="191"/>
      <c r="O50" s="191"/>
      <c r="P50" s="196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s="60" customFormat="1" ht="13.5" customHeight="1" x14ac:dyDescent="0.25">
      <c r="A51" s="52"/>
      <c r="B51" s="211"/>
      <c r="C51" s="191"/>
      <c r="D51" s="191"/>
      <c r="E51" s="191"/>
      <c r="F51" s="66" t="s">
        <v>81</v>
      </c>
      <c r="G51" s="67">
        <f t="shared" ref="G51" si="45">+E49*0.4</f>
        <v>0.1452</v>
      </c>
      <c r="H51" s="68"/>
      <c r="I51" s="69"/>
      <c r="J51" s="70">
        <v>0.13700000000000001</v>
      </c>
      <c r="K51" s="191"/>
      <c r="L51" s="191"/>
      <c r="M51" s="191"/>
      <c r="N51" s="191"/>
      <c r="O51" s="191"/>
      <c r="P51" s="196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s="60" customFormat="1" ht="13.5" customHeight="1" x14ac:dyDescent="0.25">
      <c r="A52" s="52"/>
      <c r="B52" s="211"/>
      <c r="C52" s="191"/>
      <c r="D52" s="191"/>
      <c r="E52" s="191"/>
      <c r="F52" s="66" t="s">
        <v>82</v>
      </c>
      <c r="G52" s="67">
        <f t="shared" ref="G52" si="46">IF(E49&lt;0.125,"NA",IF(0.125&lt;=E49,(0.8*E49)))</f>
        <v>0.29039999999999999</v>
      </c>
      <c r="H52" s="68"/>
      <c r="I52" s="69"/>
      <c r="J52" s="70">
        <v>0.29099999999999998</v>
      </c>
      <c r="K52" s="191"/>
      <c r="L52" s="191"/>
      <c r="M52" s="191"/>
      <c r="N52" s="191"/>
      <c r="O52" s="191"/>
      <c r="P52" s="196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s="60" customFormat="1" ht="13.5" customHeight="1" thickBot="1" x14ac:dyDescent="0.3">
      <c r="A53" s="52"/>
      <c r="B53" s="212"/>
      <c r="C53" s="192"/>
      <c r="D53" s="192"/>
      <c r="E53" s="192"/>
      <c r="F53" s="71" t="s">
        <v>83</v>
      </c>
      <c r="G53" s="72">
        <f t="shared" ref="G53" si="47">+E49</f>
        <v>0.36299999999999999</v>
      </c>
      <c r="H53" s="73"/>
      <c r="I53" s="74"/>
      <c r="J53" s="75">
        <v>0.307</v>
      </c>
      <c r="K53" s="192"/>
      <c r="L53" s="192"/>
      <c r="M53" s="192"/>
      <c r="N53" s="192"/>
      <c r="O53" s="192"/>
      <c r="P53" s="197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s="60" customFormat="1" ht="13.5" customHeight="1" x14ac:dyDescent="0.25">
      <c r="A54" s="52"/>
      <c r="B54" s="210">
        <v>8</v>
      </c>
      <c r="C54" s="213">
        <f>+C49+$N$12</f>
        <v>5.0799999999999992</v>
      </c>
      <c r="D54" s="190">
        <v>0.16</v>
      </c>
      <c r="E54" s="190">
        <v>0.11700000000000001</v>
      </c>
      <c r="F54" s="61" t="s">
        <v>79</v>
      </c>
      <c r="G54" s="62">
        <v>0</v>
      </c>
      <c r="H54" s="63"/>
      <c r="I54" s="64"/>
      <c r="J54" s="65">
        <v>0.16800000000000001</v>
      </c>
      <c r="K54" s="190">
        <f t="shared" ref="K54" si="48">+IF(E54&lt;=0.12,(J56),(IF(E54&lt;0.16,((J55+2*J56+J57)/4),IF(E54&gt;=0.16,((J54+3*J55+2*J56+3*J57+J58)/10)))))</f>
        <v>0.27700000000000002</v>
      </c>
      <c r="L54" s="190">
        <f t="shared" ref="L54" si="49">ROUND(+(D49+D54)/2*(C54-C49),3)</f>
        <v>6.4000000000000001E-2</v>
      </c>
      <c r="M54" s="190">
        <f t="shared" ref="M54" si="50">ROUND(+K54*L54,4)</f>
        <v>1.77E-2</v>
      </c>
      <c r="N54" s="193">
        <f t="shared" ref="N54" si="51">ROUND(+M54/$M$98*100,2)</f>
        <v>16.190000000000001</v>
      </c>
      <c r="O54" s="194"/>
      <c r="P54" s="195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s="60" customFormat="1" ht="13.5" customHeight="1" x14ac:dyDescent="0.25">
      <c r="A55" s="52"/>
      <c r="B55" s="211"/>
      <c r="C55" s="191"/>
      <c r="D55" s="191"/>
      <c r="E55" s="191"/>
      <c r="F55" s="66" t="s">
        <v>80</v>
      </c>
      <c r="G55" s="67" t="str">
        <f t="shared" ref="G55" si="52">IF(E54&lt;0.125,"NA",IF(0.125&lt;=E54,(0.2*E54)))</f>
        <v>NA</v>
      </c>
      <c r="H55" s="68"/>
      <c r="I55" s="69"/>
      <c r="J55" s="70"/>
      <c r="K55" s="191"/>
      <c r="L55" s="191"/>
      <c r="M55" s="191"/>
      <c r="N55" s="191"/>
      <c r="O55" s="191"/>
      <c r="P55" s="196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s="60" customFormat="1" ht="13.5" customHeight="1" x14ac:dyDescent="0.25">
      <c r="A56" s="52"/>
      <c r="B56" s="211"/>
      <c r="C56" s="191"/>
      <c r="D56" s="191"/>
      <c r="E56" s="191"/>
      <c r="F56" s="66" t="s">
        <v>81</v>
      </c>
      <c r="G56" s="67">
        <f t="shared" ref="G56" si="53">+E54*0.4</f>
        <v>4.6800000000000008E-2</v>
      </c>
      <c r="H56" s="68"/>
      <c r="I56" s="69"/>
      <c r="J56" s="70">
        <v>0.27700000000000002</v>
      </c>
      <c r="K56" s="191"/>
      <c r="L56" s="191"/>
      <c r="M56" s="191"/>
      <c r="N56" s="191"/>
      <c r="O56" s="191"/>
      <c r="P56" s="196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s="60" customFormat="1" ht="13.5" customHeight="1" x14ac:dyDescent="0.25">
      <c r="A57" s="52"/>
      <c r="B57" s="211"/>
      <c r="C57" s="191"/>
      <c r="D57" s="191"/>
      <c r="E57" s="191"/>
      <c r="F57" s="66" t="s">
        <v>82</v>
      </c>
      <c r="G57" s="67" t="str">
        <f t="shared" ref="G57" si="54">IF(E54&lt;0.125,"NA",IF(0.125&lt;=E54,(0.8*E54)))</f>
        <v>NA</v>
      </c>
      <c r="H57" s="68"/>
      <c r="I57" s="69"/>
      <c r="J57" s="70"/>
      <c r="K57" s="191"/>
      <c r="L57" s="191"/>
      <c r="M57" s="191"/>
      <c r="N57" s="191"/>
      <c r="O57" s="191"/>
      <c r="P57" s="196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s="60" customFormat="1" ht="13.5" customHeight="1" thickBot="1" x14ac:dyDescent="0.3">
      <c r="A58" s="52"/>
      <c r="B58" s="212"/>
      <c r="C58" s="192"/>
      <c r="D58" s="192"/>
      <c r="E58" s="192"/>
      <c r="F58" s="71" t="s">
        <v>83</v>
      </c>
      <c r="G58" s="72">
        <f t="shared" ref="G58" si="55">+E54</f>
        <v>0.11700000000000001</v>
      </c>
      <c r="H58" s="73"/>
      <c r="I58" s="74"/>
      <c r="J58" s="75">
        <v>0.38800000000000001</v>
      </c>
      <c r="K58" s="192"/>
      <c r="L58" s="192"/>
      <c r="M58" s="192"/>
      <c r="N58" s="192"/>
      <c r="O58" s="192"/>
      <c r="P58" s="197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s="60" customFormat="1" ht="13.5" customHeight="1" x14ac:dyDescent="0.25">
      <c r="A59" s="52"/>
      <c r="B59" s="210">
        <v>9</v>
      </c>
      <c r="C59" s="213">
        <f>+C54+$N$12</f>
        <v>5.379999999999999</v>
      </c>
      <c r="D59" s="190">
        <v>0.13900000000000001</v>
      </c>
      <c r="E59" s="190">
        <v>0.13600000000000001</v>
      </c>
      <c r="F59" s="61" t="s">
        <v>79</v>
      </c>
      <c r="G59" s="62">
        <v>0</v>
      </c>
      <c r="H59" s="63"/>
      <c r="I59" s="64"/>
      <c r="J59" s="65">
        <v>0.109</v>
      </c>
      <c r="K59" s="190">
        <f t="shared" ref="K59" si="56">+IF(E59&lt;=0.12,(J61),(IF(E59&lt;0.16,((J60+2*J61+J62)/4),IF(E59&gt;=0.16,((J59+3*J60+2*J61+3*J62+J63)/10)))))</f>
        <v>0.24049999999999999</v>
      </c>
      <c r="L59" s="190">
        <f t="shared" ref="L59" si="57">ROUND(+(D54+D59)/2*(C59-C54),3)</f>
        <v>4.4999999999999998E-2</v>
      </c>
      <c r="M59" s="190">
        <f t="shared" ref="M59" si="58">ROUND(+K59*L59,4)</f>
        <v>1.0800000000000001E-2</v>
      </c>
      <c r="N59" s="193">
        <f t="shared" ref="N59" si="59">ROUND(+M59/$M$98*100,2)</f>
        <v>9.8800000000000008</v>
      </c>
      <c r="O59" s="194"/>
      <c r="P59" s="195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s="60" customFormat="1" ht="13.5" customHeight="1" x14ac:dyDescent="0.25">
      <c r="A60" s="52"/>
      <c r="B60" s="211"/>
      <c r="C60" s="191"/>
      <c r="D60" s="191"/>
      <c r="E60" s="191"/>
      <c r="F60" s="66" t="s">
        <v>80</v>
      </c>
      <c r="G60" s="67">
        <f t="shared" ref="G60" si="60">IF(E59&lt;0.125,"NA",IF(0.125&lt;=E59,(0.2*E59)))</f>
        <v>2.7200000000000002E-2</v>
      </c>
      <c r="H60" s="68"/>
      <c r="I60" s="69"/>
      <c r="J60" s="70">
        <v>0.13300000000000001</v>
      </c>
      <c r="K60" s="191"/>
      <c r="L60" s="191"/>
      <c r="M60" s="191"/>
      <c r="N60" s="191"/>
      <c r="O60" s="191"/>
      <c r="P60" s="196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s="60" customFormat="1" ht="13.5" customHeight="1" x14ac:dyDescent="0.25">
      <c r="A61" s="52"/>
      <c r="B61" s="211"/>
      <c r="C61" s="191"/>
      <c r="D61" s="191"/>
      <c r="E61" s="191"/>
      <c r="F61" s="66" t="s">
        <v>81</v>
      </c>
      <c r="G61" s="67">
        <f t="shared" ref="G61" si="61">+E59*0.4</f>
        <v>5.4400000000000004E-2</v>
      </c>
      <c r="H61" s="68"/>
      <c r="I61" s="69"/>
      <c r="J61" s="70">
        <v>0.23699999999999999</v>
      </c>
      <c r="K61" s="191"/>
      <c r="L61" s="191"/>
      <c r="M61" s="191"/>
      <c r="N61" s="191"/>
      <c r="O61" s="191"/>
      <c r="P61" s="196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s="60" customFormat="1" ht="13.5" customHeight="1" x14ac:dyDescent="0.25">
      <c r="A62" s="52"/>
      <c r="B62" s="211"/>
      <c r="C62" s="191"/>
      <c r="D62" s="191"/>
      <c r="E62" s="191"/>
      <c r="F62" s="66" t="s">
        <v>82</v>
      </c>
      <c r="G62" s="67">
        <f t="shared" ref="G62" si="62">IF(E59&lt;0.125,"NA",IF(0.125&lt;=E59,(0.8*E59)))</f>
        <v>0.10880000000000001</v>
      </c>
      <c r="H62" s="68"/>
      <c r="I62" s="69"/>
      <c r="J62" s="70">
        <v>0.35499999999999998</v>
      </c>
      <c r="K62" s="191"/>
      <c r="L62" s="191"/>
      <c r="M62" s="191"/>
      <c r="N62" s="191"/>
      <c r="O62" s="191"/>
      <c r="P62" s="196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s="60" customFormat="1" ht="13.5" customHeight="1" thickBot="1" x14ac:dyDescent="0.3">
      <c r="A63" s="52"/>
      <c r="B63" s="212"/>
      <c r="C63" s="192"/>
      <c r="D63" s="192"/>
      <c r="E63" s="192"/>
      <c r="F63" s="71" t="s">
        <v>83</v>
      </c>
      <c r="G63" s="72">
        <f t="shared" ref="G63" si="63">+E59</f>
        <v>0.13600000000000001</v>
      </c>
      <c r="H63" s="73"/>
      <c r="I63" s="74"/>
      <c r="J63" s="75">
        <v>0.311</v>
      </c>
      <c r="K63" s="192"/>
      <c r="L63" s="192"/>
      <c r="M63" s="192"/>
      <c r="N63" s="192"/>
      <c r="O63" s="192"/>
      <c r="P63" s="197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s="60" customFormat="1" ht="13.5" customHeight="1" x14ac:dyDescent="0.25">
      <c r="A64" s="52"/>
      <c r="B64" s="210">
        <v>10</v>
      </c>
      <c r="C64" s="213">
        <f>+C59+$N$12</f>
        <v>5.6799999999999988</v>
      </c>
      <c r="D64" s="190">
        <v>8.2000000000000003E-2</v>
      </c>
      <c r="E64" s="190">
        <v>9.9000000000000005E-2</v>
      </c>
      <c r="F64" s="61" t="s">
        <v>79</v>
      </c>
      <c r="G64" s="62">
        <v>0</v>
      </c>
      <c r="H64" s="63"/>
      <c r="I64" s="64"/>
      <c r="J64" s="65">
        <v>2.5000000000000001E-2</v>
      </c>
      <c r="K64" s="190">
        <f t="shared" ref="K64" si="64">+IF(E64&lt;=0.12,(J66),(IF(E64&lt;0.16,((J65+2*J66+J67)/4),IF(E64&gt;=0.16,((J64+3*J65+2*J66+3*J67+J68)/10)))))</f>
        <v>0.13900000000000001</v>
      </c>
      <c r="L64" s="190">
        <f t="shared" ref="L64" si="65">ROUND(+(D59+D64)/2*(C64-C59),3)</f>
        <v>3.3000000000000002E-2</v>
      </c>
      <c r="M64" s="190">
        <f t="shared" ref="M64" si="66">ROUND(+K64*L64,4)</f>
        <v>4.5999999999999999E-3</v>
      </c>
      <c r="N64" s="193">
        <f t="shared" ref="N64" si="67">ROUND(+M64/$M$98*100,2)</f>
        <v>4.21</v>
      </c>
      <c r="O64" s="194"/>
      <c r="P64" s="195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s="60" customFormat="1" ht="13.5" customHeight="1" x14ac:dyDescent="0.25">
      <c r="A65" s="52"/>
      <c r="B65" s="211"/>
      <c r="C65" s="191"/>
      <c r="D65" s="191"/>
      <c r="E65" s="191"/>
      <c r="F65" s="66" t="s">
        <v>80</v>
      </c>
      <c r="G65" s="67" t="str">
        <f t="shared" ref="G65" si="68">IF(E64&lt;0.125,"NA",IF(0.125&lt;=E64,(0.2*E64)))</f>
        <v>NA</v>
      </c>
      <c r="H65" s="68"/>
      <c r="I65" s="69"/>
      <c r="J65" s="70"/>
      <c r="K65" s="191"/>
      <c r="L65" s="191"/>
      <c r="M65" s="191"/>
      <c r="N65" s="191"/>
      <c r="O65" s="191"/>
      <c r="P65" s="196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s="60" customFormat="1" ht="13.5" customHeight="1" x14ac:dyDescent="0.25">
      <c r="A66" s="52"/>
      <c r="B66" s="211"/>
      <c r="C66" s="191"/>
      <c r="D66" s="191"/>
      <c r="E66" s="191"/>
      <c r="F66" s="66" t="s">
        <v>81</v>
      </c>
      <c r="G66" s="67">
        <f t="shared" ref="G66" si="69">+E64*0.4</f>
        <v>3.9600000000000003E-2</v>
      </c>
      <c r="H66" s="68"/>
      <c r="I66" s="69"/>
      <c r="J66" s="70">
        <v>0.13900000000000001</v>
      </c>
      <c r="K66" s="191"/>
      <c r="L66" s="191"/>
      <c r="M66" s="191"/>
      <c r="N66" s="191"/>
      <c r="O66" s="191"/>
      <c r="P66" s="196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s="60" customFormat="1" ht="13.5" customHeight="1" x14ac:dyDescent="0.25">
      <c r="A67" s="52"/>
      <c r="B67" s="211"/>
      <c r="C67" s="191"/>
      <c r="D67" s="191"/>
      <c r="E67" s="191"/>
      <c r="F67" s="66" t="s">
        <v>82</v>
      </c>
      <c r="G67" s="67" t="str">
        <f t="shared" ref="G67" si="70">IF(E64&lt;0.125,"NA",IF(0.125&lt;=E64,(0.8*E64)))</f>
        <v>NA</v>
      </c>
      <c r="H67" s="68"/>
      <c r="I67" s="69"/>
      <c r="J67" s="70"/>
      <c r="K67" s="191"/>
      <c r="L67" s="191"/>
      <c r="M67" s="191"/>
      <c r="N67" s="191"/>
      <c r="O67" s="191"/>
      <c r="P67" s="196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s="60" customFormat="1" ht="13.5" customHeight="1" thickBot="1" x14ac:dyDescent="0.3">
      <c r="A68" s="52"/>
      <c r="B68" s="212"/>
      <c r="C68" s="192"/>
      <c r="D68" s="192"/>
      <c r="E68" s="192"/>
      <c r="F68" s="71" t="s">
        <v>83</v>
      </c>
      <c r="G68" s="72">
        <f t="shared" ref="G68" si="71">+E64</f>
        <v>9.9000000000000005E-2</v>
      </c>
      <c r="H68" s="73"/>
      <c r="I68" s="74"/>
      <c r="J68" s="75">
        <v>0.14000000000000001</v>
      </c>
      <c r="K68" s="192"/>
      <c r="L68" s="192"/>
      <c r="M68" s="192"/>
      <c r="N68" s="192"/>
      <c r="O68" s="192"/>
      <c r="P68" s="197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s="60" customFormat="1" ht="13.5" customHeight="1" x14ac:dyDescent="0.25">
      <c r="A69" s="52"/>
      <c r="B69" s="210">
        <v>11</v>
      </c>
      <c r="C69" s="213">
        <f>+C64+$N$12</f>
        <v>5.9799999999999986</v>
      </c>
      <c r="D69" s="190">
        <v>0.06</v>
      </c>
      <c r="E69" s="190">
        <v>5.8000000000000003E-2</v>
      </c>
      <c r="F69" s="61" t="s">
        <v>79</v>
      </c>
      <c r="G69" s="62">
        <v>0</v>
      </c>
      <c r="H69" s="63"/>
      <c r="I69" s="64"/>
      <c r="J69" s="65">
        <v>3.3000000000000002E-2</v>
      </c>
      <c r="K69" s="190">
        <f t="shared" ref="K69" si="72">+IF(E69&lt;=0.12,(J71),(IF(E69&lt;0.16,((J70+2*J71+J72)/4),IF(E69&gt;=0.16,((J69+3*J70+2*J71+3*J72+J73)/10)))))</f>
        <v>0.33</v>
      </c>
      <c r="L69" s="190">
        <f t="shared" ref="L69" si="73">ROUND(+(D64+D69)/2*(C69-C64),3)</f>
        <v>2.1000000000000001E-2</v>
      </c>
      <c r="M69" s="190">
        <f t="shared" ref="M69" si="74">ROUND(+K69*L69,4)</f>
        <v>6.8999999999999999E-3</v>
      </c>
      <c r="N69" s="193">
        <f t="shared" ref="N69" si="75">ROUND(+M69/$M$98*100,2)</f>
        <v>6.31</v>
      </c>
      <c r="O69" s="194"/>
      <c r="P69" s="195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s="60" customFormat="1" ht="13.5" customHeight="1" x14ac:dyDescent="0.25">
      <c r="A70" s="52"/>
      <c r="B70" s="211"/>
      <c r="C70" s="191"/>
      <c r="D70" s="191"/>
      <c r="E70" s="191"/>
      <c r="F70" s="66" t="s">
        <v>80</v>
      </c>
      <c r="G70" s="67" t="str">
        <f t="shared" ref="G70" si="76">IF(E69&lt;0.125,"NA",IF(0.125&lt;=E69,(0.2*E69)))</f>
        <v>NA</v>
      </c>
      <c r="H70" s="68"/>
      <c r="I70" s="69"/>
      <c r="J70" s="70"/>
      <c r="K70" s="191"/>
      <c r="L70" s="191"/>
      <c r="M70" s="191"/>
      <c r="N70" s="191"/>
      <c r="O70" s="191"/>
      <c r="P70" s="196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s="60" customFormat="1" ht="13.5" customHeight="1" x14ac:dyDescent="0.25">
      <c r="A71" s="52"/>
      <c r="B71" s="211"/>
      <c r="C71" s="191"/>
      <c r="D71" s="191"/>
      <c r="E71" s="191"/>
      <c r="F71" s="66" t="s">
        <v>81</v>
      </c>
      <c r="G71" s="67">
        <f t="shared" ref="G71" si="77">+E69*0.4</f>
        <v>2.3200000000000002E-2</v>
      </c>
      <c r="H71" s="68"/>
      <c r="I71" s="69"/>
      <c r="J71" s="70">
        <v>0.33</v>
      </c>
      <c r="K71" s="191"/>
      <c r="L71" s="191"/>
      <c r="M71" s="191"/>
      <c r="N71" s="191"/>
      <c r="O71" s="191"/>
      <c r="P71" s="196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s="60" customFormat="1" ht="13.5" customHeight="1" x14ac:dyDescent="0.25">
      <c r="A72" s="52"/>
      <c r="B72" s="211"/>
      <c r="C72" s="191"/>
      <c r="D72" s="191"/>
      <c r="E72" s="191"/>
      <c r="F72" s="66" t="s">
        <v>82</v>
      </c>
      <c r="G72" s="67" t="str">
        <f t="shared" ref="G72" si="78">IF(E69&lt;0.125,"NA",IF(0.125&lt;=E69,(0.8*E69)))</f>
        <v>NA</v>
      </c>
      <c r="H72" s="68"/>
      <c r="I72" s="69"/>
      <c r="J72" s="70"/>
      <c r="K72" s="191"/>
      <c r="L72" s="191"/>
      <c r="M72" s="191"/>
      <c r="N72" s="191"/>
      <c r="O72" s="191"/>
      <c r="P72" s="196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s="60" customFormat="1" ht="13.5" customHeight="1" thickBot="1" x14ac:dyDescent="0.3">
      <c r="A73" s="52"/>
      <c r="B73" s="212"/>
      <c r="C73" s="192"/>
      <c r="D73" s="192"/>
      <c r="E73" s="192"/>
      <c r="F73" s="71" t="s">
        <v>83</v>
      </c>
      <c r="G73" s="72">
        <f t="shared" ref="G73" si="79">+E69</f>
        <v>5.8000000000000003E-2</v>
      </c>
      <c r="H73" s="73"/>
      <c r="I73" s="74"/>
      <c r="J73" s="75">
        <v>6.0999999999999999E-2</v>
      </c>
      <c r="K73" s="192"/>
      <c r="L73" s="192"/>
      <c r="M73" s="192"/>
      <c r="N73" s="192"/>
      <c r="O73" s="192"/>
      <c r="P73" s="197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s="60" customFormat="1" ht="13.5" customHeight="1" x14ac:dyDescent="0.25">
      <c r="A74" s="52"/>
      <c r="B74" s="210">
        <v>12</v>
      </c>
      <c r="C74" s="213">
        <f>+C69+0.4</f>
        <v>6.379999999999999</v>
      </c>
      <c r="D74" s="190">
        <v>0</v>
      </c>
      <c r="E74" s="190">
        <v>5.0999999999999997E-2</v>
      </c>
      <c r="F74" s="61" t="s">
        <v>79</v>
      </c>
      <c r="G74" s="62">
        <v>0</v>
      </c>
      <c r="H74" s="63"/>
      <c r="I74" s="64"/>
      <c r="J74" s="65"/>
      <c r="K74" s="190">
        <f t="shared" ref="K74" si="80">+IF(E74&lt;=0.12,(J76),(IF(E74&lt;0.16,((J75+2*J76+J77)/4),IF(E74&gt;=0.16,((J74+3*J75+2*J76+3*J77+J78)/10)))))</f>
        <v>1.4E-2</v>
      </c>
      <c r="L74" s="190">
        <f>ROUND(+(D69+D74)/2*(C74-C69),3)</f>
        <v>1.2E-2</v>
      </c>
      <c r="M74" s="190">
        <f t="shared" ref="M74" si="81">ROUND(+K74*L74,4)</f>
        <v>2.0000000000000001E-4</v>
      </c>
      <c r="N74" s="193">
        <f t="shared" ref="N74" si="82">ROUND(+M74/$M$98*100,2)</f>
        <v>0.18</v>
      </c>
      <c r="O74" s="194"/>
      <c r="P74" s="195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s="60" customFormat="1" ht="13.5" customHeight="1" x14ac:dyDescent="0.25">
      <c r="A75" s="52"/>
      <c r="B75" s="211"/>
      <c r="C75" s="191"/>
      <c r="D75" s="191"/>
      <c r="E75" s="191"/>
      <c r="F75" s="66" t="s">
        <v>80</v>
      </c>
      <c r="G75" s="67" t="str">
        <f t="shared" ref="G75" si="83">IF(E74&lt;0.125,"NA",IF(0.125&lt;=E74,(0.2*E74)))</f>
        <v>NA</v>
      </c>
      <c r="H75" s="68"/>
      <c r="I75" s="69"/>
      <c r="J75" s="70"/>
      <c r="K75" s="191"/>
      <c r="L75" s="191"/>
      <c r="M75" s="191"/>
      <c r="N75" s="191"/>
      <c r="O75" s="191"/>
      <c r="P75" s="196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s="60" customFormat="1" ht="13.5" customHeight="1" x14ac:dyDescent="0.25">
      <c r="A76" s="52"/>
      <c r="B76" s="211"/>
      <c r="C76" s="191"/>
      <c r="D76" s="191"/>
      <c r="E76" s="191"/>
      <c r="F76" s="66" t="s">
        <v>81</v>
      </c>
      <c r="G76" s="67">
        <f t="shared" ref="G76" si="84">+E74*0.4</f>
        <v>2.0400000000000001E-2</v>
      </c>
      <c r="H76" s="68"/>
      <c r="I76" s="69"/>
      <c r="J76" s="70">
        <v>1.4E-2</v>
      </c>
      <c r="K76" s="191"/>
      <c r="L76" s="191"/>
      <c r="M76" s="191"/>
      <c r="N76" s="191"/>
      <c r="O76" s="191"/>
      <c r="P76" s="196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s="60" customFormat="1" ht="13.5" customHeight="1" x14ac:dyDescent="0.25">
      <c r="A77" s="52"/>
      <c r="B77" s="211"/>
      <c r="C77" s="191"/>
      <c r="D77" s="191"/>
      <c r="E77" s="191"/>
      <c r="F77" s="66" t="s">
        <v>82</v>
      </c>
      <c r="G77" s="67" t="str">
        <f t="shared" ref="G77" si="85">IF(E74&lt;0.125,"NA",IF(0.125&lt;=E74,(0.8*E74)))</f>
        <v>NA</v>
      </c>
      <c r="H77" s="68"/>
      <c r="I77" s="69"/>
      <c r="J77" s="70"/>
      <c r="K77" s="191"/>
      <c r="L77" s="191"/>
      <c r="M77" s="191"/>
      <c r="N77" s="191"/>
      <c r="O77" s="191"/>
      <c r="P77" s="196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s="60" customFormat="1" ht="13.5" customHeight="1" thickBot="1" x14ac:dyDescent="0.3">
      <c r="A78" s="52"/>
      <c r="B78" s="212"/>
      <c r="C78" s="192"/>
      <c r="D78" s="192"/>
      <c r="E78" s="192"/>
      <c r="F78" s="71" t="s">
        <v>83</v>
      </c>
      <c r="G78" s="72">
        <f t="shared" ref="G78" si="86">+E74</f>
        <v>5.0999999999999997E-2</v>
      </c>
      <c r="H78" s="73"/>
      <c r="I78" s="74"/>
      <c r="J78" s="75"/>
      <c r="K78" s="192"/>
      <c r="L78" s="192"/>
      <c r="M78" s="192"/>
      <c r="N78" s="192"/>
      <c r="O78" s="192"/>
      <c r="P78" s="197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s="3" customFormat="1" ht="14.1" customHeight="1" x14ac:dyDescent="0.2">
      <c r="B79" s="198" t="s">
        <v>29</v>
      </c>
      <c r="C79" s="201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3"/>
    </row>
    <row r="80" spans="1:26" s="3" customFormat="1" ht="14.1" customHeight="1" x14ac:dyDescent="0.2">
      <c r="B80" s="199"/>
      <c r="C80" s="204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6"/>
    </row>
    <row r="81" spans="1:26" s="3" customFormat="1" ht="14.1" customHeight="1" x14ac:dyDescent="0.2">
      <c r="B81" s="199"/>
      <c r="C81" s="204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6"/>
    </row>
    <row r="82" spans="1:26" s="3" customFormat="1" ht="14.1" customHeight="1" x14ac:dyDescent="0.2">
      <c r="B82" s="199"/>
      <c r="C82" s="204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6"/>
    </row>
    <row r="83" spans="1:26" s="3" customFormat="1" ht="14.1" customHeight="1" x14ac:dyDescent="0.2">
      <c r="B83" s="199"/>
      <c r="C83" s="204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6"/>
    </row>
    <row r="84" spans="1:26" s="3" customFormat="1" ht="14.1" customHeight="1" thickBot="1" x14ac:dyDescent="0.25">
      <c r="B84" s="200"/>
      <c r="C84" s="207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9"/>
    </row>
    <row r="85" spans="1:26" s="3" customFormat="1" ht="28.5" customHeight="1" thickBot="1" x14ac:dyDescent="0.25">
      <c r="A85" s="76"/>
      <c r="B85" s="77" t="s">
        <v>84</v>
      </c>
      <c r="C85" s="177" t="s">
        <v>85</v>
      </c>
      <c r="D85" s="177"/>
      <c r="E85" s="177"/>
      <c r="F85" s="177"/>
      <c r="G85" s="177"/>
      <c r="H85" s="178"/>
      <c r="I85" s="179"/>
      <c r="J85" s="77"/>
      <c r="K85" s="177" t="s">
        <v>87</v>
      </c>
      <c r="L85" s="177"/>
      <c r="M85" s="177"/>
      <c r="N85" s="177"/>
      <c r="O85" s="177"/>
      <c r="P85" s="178"/>
    </row>
    <row r="86" spans="1:26" s="3" customFormat="1" ht="28.5" customHeight="1" thickBot="1" x14ac:dyDescent="0.25">
      <c r="B86" s="78" t="s">
        <v>88</v>
      </c>
      <c r="C86" s="181" t="s">
        <v>89</v>
      </c>
      <c r="D86" s="181"/>
      <c r="E86" s="181"/>
      <c r="F86" s="181"/>
      <c r="G86" s="181"/>
      <c r="H86" s="182"/>
      <c r="I86" s="180"/>
      <c r="J86" s="78" t="s">
        <v>90</v>
      </c>
      <c r="K86" s="181" t="s">
        <v>91</v>
      </c>
      <c r="L86" s="181"/>
      <c r="M86" s="181"/>
      <c r="N86" s="181"/>
      <c r="O86" s="181"/>
      <c r="P86" s="182"/>
    </row>
    <row r="87" spans="1:26" s="19" customFormat="1" ht="13.5" customHeight="1" x14ac:dyDescent="0.25">
      <c r="A87" s="79"/>
      <c r="B87" s="183">
        <f>+B24</f>
        <v>2</v>
      </c>
      <c r="C87" s="186">
        <f>+C19</f>
        <v>2.98</v>
      </c>
      <c r="D87" s="188">
        <f>+D19</f>
        <v>0.48</v>
      </c>
      <c r="E87" s="188">
        <f>+E24</f>
        <v>0.443</v>
      </c>
      <c r="F87" s="80" t="s">
        <v>79</v>
      </c>
      <c r="G87" s="80">
        <v>0.01</v>
      </c>
      <c r="H87" s="81"/>
      <c r="I87" s="82"/>
      <c r="J87" s="83">
        <v>3.0000000000000001E-3</v>
      </c>
      <c r="K87" s="189">
        <f>+AVERAGE(J87:J97)</f>
        <v>7.0000000000000007E-2</v>
      </c>
      <c r="L87" s="168">
        <f>ROUND(+(D87+D92)/2*(C92-C87),3)</f>
        <v>0.13400000000000001</v>
      </c>
      <c r="M87" s="171">
        <f>ROUND(+K87*L87,4)</f>
        <v>9.4000000000000004E-3</v>
      </c>
      <c r="N87" s="168">
        <f>ROUND(+M87/$M$98*100,2)</f>
        <v>8.6</v>
      </c>
      <c r="O87" s="168"/>
      <c r="P87" s="172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s="19" customFormat="1" ht="13.5" customHeight="1" x14ac:dyDescent="0.25">
      <c r="A88" s="79"/>
      <c r="B88" s="184"/>
      <c r="C88" s="169"/>
      <c r="D88" s="169"/>
      <c r="E88" s="169"/>
      <c r="F88" s="85" t="s">
        <v>92</v>
      </c>
      <c r="G88" s="86">
        <f>+E87*0.1</f>
        <v>4.4300000000000006E-2</v>
      </c>
      <c r="H88" s="87"/>
      <c r="I88" s="88"/>
      <c r="J88" s="89">
        <v>8.9999999999999993E-3</v>
      </c>
      <c r="K88" s="169"/>
      <c r="L88" s="169"/>
      <c r="M88" s="169"/>
      <c r="N88" s="169"/>
      <c r="O88" s="169"/>
      <c r="P88" s="173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s="19" customFormat="1" ht="13.5" customHeight="1" x14ac:dyDescent="0.25">
      <c r="A89" s="79"/>
      <c r="B89" s="184"/>
      <c r="C89" s="169"/>
      <c r="D89" s="169"/>
      <c r="E89" s="169"/>
      <c r="F89" s="85" t="s">
        <v>93</v>
      </c>
      <c r="G89" s="86">
        <f>+E87*0.2</f>
        <v>8.8600000000000012E-2</v>
      </c>
      <c r="H89" s="87"/>
      <c r="I89" s="88"/>
      <c r="J89" s="89">
        <v>1E-3</v>
      </c>
      <c r="K89" s="169"/>
      <c r="L89" s="169"/>
      <c r="M89" s="169"/>
      <c r="N89" s="169"/>
      <c r="O89" s="169"/>
      <c r="P89" s="173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s="19" customFormat="1" ht="13.5" customHeight="1" x14ac:dyDescent="0.25">
      <c r="A90" s="79"/>
      <c r="B90" s="184"/>
      <c r="C90" s="169"/>
      <c r="D90" s="169"/>
      <c r="E90" s="169"/>
      <c r="F90" s="85" t="s">
        <v>94</v>
      </c>
      <c r="G90" s="86">
        <f>+E87*0.3</f>
        <v>0.13289999999999999</v>
      </c>
      <c r="H90" s="87"/>
      <c r="I90" s="88"/>
      <c r="J90" s="89">
        <v>3.2000000000000001E-2</v>
      </c>
      <c r="K90" s="169"/>
      <c r="L90" s="169"/>
      <c r="M90" s="169"/>
      <c r="N90" s="169"/>
      <c r="O90" s="169"/>
      <c r="P90" s="173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s="19" customFormat="1" ht="13.5" customHeight="1" x14ac:dyDescent="0.25">
      <c r="A91" s="79"/>
      <c r="B91" s="184"/>
      <c r="C91" s="187"/>
      <c r="D91" s="187"/>
      <c r="E91" s="169"/>
      <c r="F91" s="85" t="s">
        <v>95</v>
      </c>
      <c r="G91" s="86">
        <f>+E87*0.4</f>
        <v>0.17720000000000002</v>
      </c>
      <c r="H91" s="87"/>
      <c r="I91" s="88"/>
      <c r="J91" s="89">
        <v>2.1000000000000001E-2</v>
      </c>
      <c r="K91" s="169"/>
      <c r="L91" s="169"/>
      <c r="M91" s="169"/>
      <c r="N91" s="169"/>
      <c r="O91" s="169"/>
      <c r="P91" s="173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s="19" customFormat="1" ht="13.5" customHeight="1" x14ac:dyDescent="0.25">
      <c r="A92" s="79"/>
      <c r="B92" s="184"/>
      <c r="C92" s="175">
        <f>+C24</f>
        <v>3.28</v>
      </c>
      <c r="D92" s="176">
        <f>+D24</f>
        <v>0.41199999999999998</v>
      </c>
      <c r="E92" s="169"/>
      <c r="F92" s="85" t="s">
        <v>30</v>
      </c>
      <c r="G92" s="86">
        <f>+E87*0.5</f>
        <v>0.2215</v>
      </c>
      <c r="H92" s="87"/>
      <c r="I92" s="88"/>
      <c r="J92" s="89">
        <v>0.09</v>
      </c>
      <c r="K92" s="169"/>
      <c r="L92" s="169"/>
      <c r="M92" s="169"/>
      <c r="N92" s="169"/>
      <c r="O92" s="169"/>
      <c r="P92" s="173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s="19" customFormat="1" ht="13.5" customHeight="1" x14ac:dyDescent="0.25">
      <c r="A93" s="79"/>
      <c r="B93" s="184"/>
      <c r="C93" s="169"/>
      <c r="D93" s="169"/>
      <c r="E93" s="169"/>
      <c r="F93" s="85" t="s">
        <v>96</v>
      </c>
      <c r="G93" s="86">
        <f>+E87*0.6</f>
        <v>0.26579999999999998</v>
      </c>
      <c r="H93" s="87"/>
      <c r="I93" s="88"/>
      <c r="J93" s="89">
        <v>6.5000000000000002E-2</v>
      </c>
      <c r="K93" s="169"/>
      <c r="L93" s="169"/>
      <c r="M93" s="169"/>
      <c r="N93" s="169"/>
      <c r="O93" s="169"/>
      <c r="P93" s="173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s="19" customFormat="1" ht="13.5" customHeight="1" x14ac:dyDescent="0.25">
      <c r="A94" s="79"/>
      <c r="B94" s="184"/>
      <c r="C94" s="169"/>
      <c r="D94" s="169"/>
      <c r="E94" s="169"/>
      <c r="F94" s="85" t="s">
        <v>97</v>
      </c>
      <c r="G94" s="86">
        <f>+E87*0.7</f>
        <v>0.31009999999999999</v>
      </c>
      <c r="H94" s="87"/>
      <c r="I94" s="88"/>
      <c r="J94" s="89">
        <v>8.5000000000000006E-2</v>
      </c>
      <c r="K94" s="169"/>
      <c r="L94" s="169"/>
      <c r="M94" s="169"/>
      <c r="N94" s="169"/>
      <c r="O94" s="169"/>
      <c r="P94" s="173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s="19" customFormat="1" ht="13.5" customHeight="1" x14ac:dyDescent="0.25">
      <c r="A95" s="79"/>
      <c r="B95" s="184"/>
      <c r="C95" s="169"/>
      <c r="D95" s="169"/>
      <c r="E95" s="169"/>
      <c r="F95" s="85" t="s">
        <v>98</v>
      </c>
      <c r="G95" s="86">
        <f>+E87*0.8</f>
        <v>0.35440000000000005</v>
      </c>
      <c r="H95" s="87"/>
      <c r="I95" s="88"/>
      <c r="J95" s="89">
        <v>0.16800000000000001</v>
      </c>
      <c r="K95" s="169"/>
      <c r="L95" s="169"/>
      <c r="M95" s="169"/>
      <c r="N95" s="169"/>
      <c r="O95" s="169"/>
      <c r="P95" s="173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s="19" customFormat="1" ht="13.5" customHeight="1" x14ac:dyDescent="0.25">
      <c r="A96" s="79"/>
      <c r="B96" s="184"/>
      <c r="C96" s="169"/>
      <c r="D96" s="169"/>
      <c r="E96" s="169"/>
      <c r="F96" s="85" t="s">
        <v>99</v>
      </c>
      <c r="G96" s="86">
        <f>+E87*0.9</f>
        <v>0.3987</v>
      </c>
      <c r="H96" s="87"/>
      <c r="I96" s="88"/>
      <c r="J96" s="89">
        <v>0.17100000000000001</v>
      </c>
      <c r="K96" s="169"/>
      <c r="L96" s="169"/>
      <c r="M96" s="169"/>
      <c r="N96" s="169"/>
      <c r="O96" s="169"/>
      <c r="P96" s="173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s="19" customFormat="1" ht="15.75" thickBot="1" x14ac:dyDescent="0.3">
      <c r="A97" s="79"/>
      <c r="B97" s="185"/>
      <c r="C97" s="170"/>
      <c r="D97" s="170"/>
      <c r="E97" s="170"/>
      <c r="F97" s="90" t="s">
        <v>31</v>
      </c>
      <c r="G97" s="90">
        <f>+E87</f>
        <v>0.443</v>
      </c>
      <c r="H97" s="91"/>
      <c r="I97" s="92"/>
      <c r="J97" s="93">
        <v>0.125</v>
      </c>
      <c r="K97" s="170"/>
      <c r="L97" s="170"/>
      <c r="M97" s="170"/>
      <c r="N97" s="170"/>
      <c r="O97" s="170"/>
      <c r="P97" s="17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s="3" customFormat="1" ht="12.75" x14ac:dyDescent="0.2">
      <c r="A98" s="11"/>
      <c r="B98" s="156" t="s">
        <v>32</v>
      </c>
      <c r="C98" s="156"/>
      <c r="D98" s="156"/>
      <c r="E98" s="156"/>
      <c r="F98" s="156"/>
      <c r="G98" s="156"/>
      <c r="H98" s="156"/>
      <c r="I98" s="156"/>
      <c r="J98" s="156"/>
      <c r="K98" s="12">
        <f>ROUND(+M98/L98,3)</f>
        <v>0.11700000000000001</v>
      </c>
      <c r="L98" s="16">
        <f>SUM(L19:L97)</f>
        <v>0.93100000000000005</v>
      </c>
      <c r="M98" s="15">
        <f>SUM(M19:M97)</f>
        <v>0.10930000000000001</v>
      </c>
      <c r="N98" s="13">
        <f>ROUND(SUM(N19:N97),0)</f>
        <v>100</v>
      </c>
      <c r="O98" s="158" t="s">
        <v>33</v>
      </c>
      <c r="P98" s="160"/>
    </row>
    <row r="99" spans="1:26" s="3" customFormat="1" ht="15" customHeight="1" thickBot="1" x14ac:dyDescent="0.25">
      <c r="A99" s="11"/>
      <c r="B99" s="157"/>
      <c r="C99" s="157"/>
      <c r="D99" s="157"/>
      <c r="E99" s="157"/>
      <c r="F99" s="157"/>
      <c r="G99" s="157"/>
      <c r="H99" s="157"/>
      <c r="I99" s="157"/>
      <c r="J99" s="157"/>
      <c r="K99" s="14" t="s">
        <v>34</v>
      </c>
      <c r="L99" s="14" t="s">
        <v>50</v>
      </c>
      <c r="M99" s="14" t="s">
        <v>51</v>
      </c>
      <c r="N99" s="14" t="s">
        <v>35</v>
      </c>
      <c r="O99" s="159"/>
      <c r="P99" s="161"/>
    </row>
    <row r="100" spans="1:26" ht="15" customHeight="1" thickBot="1" x14ac:dyDescent="0.3">
      <c r="A100" s="5"/>
      <c r="B100" s="162" t="s">
        <v>100</v>
      </c>
      <c r="C100" s="163"/>
      <c r="D100" s="163"/>
      <c r="E100" s="163"/>
      <c r="F100" s="164"/>
      <c r="G100" s="162" t="s">
        <v>101</v>
      </c>
      <c r="H100" s="163"/>
      <c r="I100" s="163"/>
      <c r="J100" s="163"/>
      <c r="K100" s="164"/>
      <c r="L100" s="165" t="s">
        <v>53</v>
      </c>
      <c r="M100" s="166"/>
      <c r="N100" s="166"/>
      <c r="O100" s="166"/>
      <c r="P100" s="167"/>
    </row>
    <row r="101" spans="1:26" ht="15" customHeight="1" x14ac:dyDescent="0.25">
      <c r="A101" s="5"/>
      <c r="B101" s="126"/>
      <c r="C101" s="127"/>
      <c r="D101" s="127"/>
      <c r="E101" s="127"/>
      <c r="F101" s="128"/>
      <c r="G101" s="126"/>
      <c r="H101" s="127"/>
      <c r="I101" s="127"/>
      <c r="J101" s="127"/>
      <c r="K101" s="128"/>
      <c r="L101" s="135" t="s">
        <v>102</v>
      </c>
      <c r="M101" s="136"/>
      <c r="N101" s="136"/>
      <c r="O101" s="137">
        <f>+AVERAGE(E18:E78)</f>
        <v>0.26115384615384618</v>
      </c>
      <c r="P101" s="138"/>
    </row>
    <row r="102" spans="1:26" ht="15" customHeight="1" thickBot="1" x14ac:dyDescent="0.3">
      <c r="A102" s="5"/>
      <c r="B102" s="129"/>
      <c r="C102" s="130"/>
      <c r="D102" s="130"/>
      <c r="E102" s="130"/>
      <c r="F102" s="131"/>
      <c r="G102" s="129"/>
      <c r="H102" s="130"/>
      <c r="I102" s="130"/>
      <c r="J102" s="130"/>
      <c r="K102" s="131"/>
      <c r="L102" s="139" t="s">
        <v>103</v>
      </c>
      <c r="M102" s="140"/>
      <c r="N102" s="140"/>
      <c r="O102" s="305">
        <f>+MAX(E18:E78)</f>
        <v>0.443</v>
      </c>
      <c r="P102" s="306"/>
    </row>
    <row r="103" spans="1:26" ht="18.600000000000001" customHeight="1" x14ac:dyDescent="0.25">
      <c r="A103" s="6"/>
      <c r="B103" s="129"/>
      <c r="C103" s="130"/>
      <c r="D103" s="130"/>
      <c r="E103" s="130"/>
      <c r="F103" s="131"/>
      <c r="G103" s="129"/>
      <c r="H103" s="130"/>
      <c r="I103" s="130"/>
      <c r="J103" s="130"/>
      <c r="K103" s="131"/>
      <c r="L103" s="143"/>
      <c r="M103" s="144"/>
      <c r="N103" s="144"/>
      <c r="O103" s="144"/>
      <c r="P103" s="145"/>
    </row>
    <row r="104" spans="1:26" ht="70.5" customHeight="1" x14ac:dyDescent="0.25">
      <c r="A104" s="10"/>
      <c r="B104" s="129"/>
      <c r="C104" s="130"/>
      <c r="D104" s="130"/>
      <c r="E104" s="130"/>
      <c r="F104" s="131"/>
      <c r="G104" s="129"/>
      <c r="H104" s="130"/>
      <c r="I104" s="130"/>
      <c r="J104" s="130"/>
      <c r="K104" s="131"/>
      <c r="L104" s="146"/>
      <c r="M104" s="147"/>
      <c r="N104" s="147"/>
      <c r="O104" s="147"/>
      <c r="P104" s="148"/>
    </row>
    <row r="105" spans="1:26" ht="15" customHeight="1" thickBot="1" x14ac:dyDescent="0.3">
      <c r="A105" s="5"/>
      <c r="B105" s="129"/>
      <c r="C105" s="130"/>
      <c r="D105" s="130"/>
      <c r="E105" s="130"/>
      <c r="F105" s="131"/>
      <c r="G105" s="129"/>
      <c r="H105" s="130"/>
      <c r="I105" s="130"/>
      <c r="J105" s="130"/>
      <c r="K105" s="131"/>
      <c r="L105" s="149"/>
      <c r="M105" s="150"/>
      <c r="N105" s="150"/>
      <c r="O105" s="150"/>
      <c r="P105" s="151"/>
    </row>
    <row r="106" spans="1:26" ht="22.5" customHeight="1" thickBot="1" x14ac:dyDescent="0.3">
      <c r="A106" s="5"/>
      <c r="B106" s="129"/>
      <c r="C106" s="130"/>
      <c r="D106" s="130"/>
      <c r="E106" s="130"/>
      <c r="F106" s="131"/>
      <c r="G106" s="129"/>
      <c r="H106" s="130"/>
      <c r="I106" s="130"/>
      <c r="J106" s="130"/>
      <c r="K106" s="131"/>
      <c r="L106" s="152" t="s">
        <v>36</v>
      </c>
      <c r="M106" s="153"/>
      <c r="N106" s="153"/>
      <c r="O106" s="153"/>
      <c r="P106" s="97">
        <v>12.1</v>
      </c>
    </row>
    <row r="107" spans="1:26" ht="32.25" customHeight="1" thickBot="1" x14ac:dyDescent="0.3">
      <c r="A107" s="5"/>
      <c r="B107" s="132"/>
      <c r="C107" s="133"/>
      <c r="D107" s="133"/>
      <c r="E107" s="133"/>
      <c r="F107" s="134"/>
      <c r="G107" s="132"/>
      <c r="H107" s="133"/>
      <c r="I107" s="133"/>
      <c r="J107" s="133"/>
      <c r="K107" s="134"/>
      <c r="L107" s="154" t="s">
        <v>52</v>
      </c>
      <c r="M107" s="155"/>
      <c r="N107" s="155"/>
      <c r="O107" s="155"/>
      <c r="P107" s="97"/>
    </row>
    <row r="108" spans="1:26" ht="23.45" customHeight="1" thickBot="1" x14ac:dyDescent="0.3">
      <c r="A108" s="7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</row>
    <row r="109" spans="1:26" ht="15.75" thickBot="1" x14ac:dyDescent="0.3">
      <c r="A109" s="116" t="s">
        <v>37</v>
      </c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8"/>
    </row>
    <row r="110" spans="1:26" ht="159" customHeight="1" thickBot="1" x14ac:dyDescent="0.3">
      <c r="A110" s="4"/>
      <c r="B110" s="119"/>
      <c r="C110" s="120"/>
      <c r="D110" s="120"/>
      <c r="E110" s="120"/>
      <c r="F110" s="121"/>
      <c r="G110" s="307"/>
      <c r="H110" s="308"/>
      <c r="I110" s="308"/>
      <c r="J110" s="308"/>
      <c r="K110" s="308"/>
      <c r="L110" s="308"/>
      <c r="M110" s="308"/>
      <c r="N110" s="308"/>
      <c r="O110" s="308"/>
      <c r="P110" s="309"/>
    </row>
    <row r="111" spans="1:26" ht="21.75" customHeight="1" thickBot="1" x14ac:dyDescent="0.3">
      <c r="A111" s="4"/>
      <c r="B111" s="123" t="s">
        <v>107</v>
      </c>
      <c r="C111" s="124"/>
      <c r="D111" s="124"/>
      <c r="E111" s="124"/>
      <c r="F111" s="125"/>
      <c r="G111" s="302" t="s">
        <v>108</v>
      </c>
      <c r="H111" s="303"/>
      <c r="I111" s="303"/>
      <c r="J111" s="303"/>
      <c r="K111" s="303"/>
      <c r="L111" s="303"/>
      <c r="M111" s="303"/>
      <c r="N111" s="303"/>
      <c r="O111" s="303"/>
      <c r="P111" s="304"/>
    </row>
    <row r="112" spans="1:26" s="9" customFormat="1" ht="16.899999999999999" customHeight="1" thickBot="1" x14ac:dyDescent="0.3">
      <c r="A112" s="8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1"/>
    </row>
    <row r="113" spans="1:16" s="3" customFormat="1" ht="15.75" customHeight="1" thickBot="1" x14ac:dyDescent="0.25">
      <c r="A113" s="112" t="s">
        <v>38</v>
      </c>
      <c r="B113" s="113"/>
      <c r="C113" s="113"/>
      <c r="D113" s="113"/>
      <c r="E113" s="113"/>
      <c r="F113" s="113"/>
      <c r="G113" s="113"/>
      <c r="H113" s="113"/>
      <c r="I113" s="113"/>
      <c r="J113" s="113" t="s">
        <v>39</v>
      </c>
      <c r="K113" s="113"/>
      <c r="L113" s="113"/>
      <c r="M113" s="113"/>
      <c r="N113" s="113"/>
      <c r="O113" s="113"/>
      <c r="P113" s="114"/>
    </row>
  </sheetData>
  <mergeCells count="22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74:M78"/>
    <mergeCell ref="N74:N78"/>
    <mergeCell ref="O74:O78"/>
    <mergeCell ref="P74:P78"/>
    <mergeCell ref="B79:B84"/>
    <mergeCell ref="C79:P84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C85:H85"/>
    <mergeCell ref="I85:I86"/>
    <mergeCell ref="K85:P85"/>
    <mergeCell ref="C86:H86"/>
    <mergeCell ref="K86:P86"/>
    <mergeCell ref="B87:B97"/>
    <mergeCell ref="C87:C91"/>
    <mergeCell ref="D87:D91"/>
    <mergeCell ref="E87:E97"/>
    <mergeCell ref="K87:K97"/>
    <mergeCell ref="B98:J99"/>
    <mergeCell ref="O98:O99"/>
    <mergeCell ref="P98:P99"/>
    <mergeCell ref="B100:F100"/>
    <mergeCell ref="G100:K100"/>
    <mergeCell ref="L100:P100"/>
    <mergeCell ref="L87:L97"/>
    <mergeCell ref="M87:M97"/>
    <mergeCell ref="N87:N97"/>
    <mergeCell ref="O87:O97"/>
    <mergeCell ref="P87:P97"/>
    <mergeCell ref="C92:C97"/>
    <mergeCell ref="D92:D97"/>
    <mergeCell ref="B101:F107"/>
    <mergeCell ref="G101:K107"/>
    <mergeCell ref="L101:N101"/>
    <mergeCell ref="O101:P101"/>
    <mergeCell ref="L102:N102"/>
    <mergeCell ref="O102:P102"/>
    <mergeCell ref="L103:P105"/>
    <mergeCell ref="L106:O106"/>
    <mergeCell ref="L107:O107"/>
    <mergeCell ref="B112:P112"/>
    <mergeCell ref="A113:C113"/>
    <mergeCell ref="D113:I113"/>
    <mergeCell ref="J113:K113"/>
    <mergeCell ref="L113:P113"/>
    <mergeCell ref="B108:P108"/>
    <mergeCell ref="A109:P109"/>
    <mergeCell ref="B110:F110"/>
    <mergeCell ref="G110:P110"/>
    <mergeCell ref="B111:F111"/>
    <mergeCell ref="G111:P11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2019-05-16T20:25:26Z</dcterms:modified>
</cp:coreProperties>
</file>