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35" r:id="rId2"/>
    <sheet name="Aforo 2" sheetId="36" r:id="rId3"/>
    <sheet name="Aforo 3" sheetId="37" r:id="rId4"/>
    <sheet name="Aforo 4" sheetId="38" r:id="rId5"/>
  </sheets>
  <definedNames>
    <definedName name="_xlnm.Print_Area" localSheetId="1">'Aforo 1'!$B$1:$P$88</definedName>
    <definedName name="_xlnm.Print_Area" localSheetId="2">'Aforo 2'!$B$1:$P$93</definedName>
    <definedName name="_xlnm.Print_Area" localSheetId="3">'Aforo 3'!$B$1:$P$93</definedName>
    <definedName name="_xlnm.Print_Area" localSheetId="4">'Aforo 4'!$B$1:$P$123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2" i="38" l="1"/>
  <c r="O111" i="38"/>
  <c r="G107" i="38"/>
  <c r="G106" i="38"/>
  <c r="G105" i="38"/>
  <c r="G104" i="38"/>
  <c r="G103" i="38"/>
  <c r="G102" i="38"/>
  <c r="G101" i="38"/>
  <c r="G100" i="38"/>
  <c r="G99" i="38"/>
  <c r="G98" i="38"/>
  <c r="G88" i="38"/>
  <c r="G87" i="38"/>
  <c r="G86" i="38"/>
  <c r="G85" i="38"/>
  <c r="K84" i="38"/>
  <c r="G83" i="38"/>
  <c r="G82" i="38"/>
  <c r="G81" i="38"/>
  <c r="G80" i="38"/>
  <c r="K79" i="38"/>
  <c r="G78" i="38"/>
  <c r="G77" i="38"/>
  <c r="G76" i="38"/>
  <c r="G75" i="38"/>
  <c r="K74" i="38"/>
  <c r="G73" i="38"/>
  <c r="G72" i="38"/>
  <c r="G71" i="38"/>
  <c r="G70" i="38"/>
  <c r="K69" i="38"/>
  <c r="G68" i="38"/>
  <c r="G67" i="38"/>
  <c r="G66" i="38"/>
  <c r="G65" i="38"/>
  <c r="K64" i="38"/>
  <c r="G63" i="38"/>
  <c r="G62" i="38"/>
  <c r="G61" i="38"/>
  <c r="G60" i="38"/>
  <c r="K59" i="38"/>
  <c r="G58" i="38"/>
  <c r="G57" i="38"/>
  <c r="G56" i="38"/>
  <c r="G55" i="38"/>
  <c r="K54" i="38"/>
  <c r="G53" i="38"/>
  <c r="G52" i="38"/>
  <c r="G51" i="38"/>
  <c r="G50" i="38"/>
  <c r="K49" i="38"/>
  <c r="G48" i="38"/>
  <c r="G47" i="38"/>
  <c r="G46" i="38"/>
  <c r="G45" i="38"/>
  <c r="K44" i="38"/>
  <c r="G43" i="38"/>
  <c r="G42" i="38"/>
  <c r="G41" i="38"/>
  <c r="G40" i="38"/>
  <c r="K39" i="38"/>
  <c r="G38" i="38"/>
  <c r="G37" i="38"/>
  <c r="G36" i="38"/>
  <c r="G35" i="38"/>
  <c r="K34" i="38"/>
  <c r="G33" i="38"/>
  <c r="G32" i="38"/>
  <c r="G31" i="38"/>
  <c r="G30" i="38"/>
  <c r="K29" i="38"/>
  <c r="G28" i="38"/>
  <c r="G27" i="38"/>
  <c r="G26" i="38"/>
  <c r="G25" i="38"/>
  <c r="K24" i="38"/>
  <c r="G23" i="38"/>
  <c r="G22" i="38"/>
  <c r="G21" i="38"/>
  <c r="G20" i="38"/>
  <c r="K19" i="38"/>
  <c r="C18" i="38"/>
  <c r="C19" i="38" s="1"/>
  <c r="C24" i="38" l="1"/>
  <c r="L19" i="38"/>
  <c r="M19" i="38" s="1"/>
  <c r="L24" i="38" l="1"/>
  <c r="M24" i="38" s="1"/>
  <c r="C29" i="38"/>
  <c r="L29" i="38" l="1"/>
  <c r="M29" i="38" s="1"/>
  <c r="C34" i="38"/>
  <c r="L34" i="38" l="1"/>
  <c r="M34" i="38" s="1"/>
  <c r="C39" i="38"/>
  <c r="C44" i="38" l="1"/>
  <c r="L39" i="38"/>
  <c r="M39" i="38" s="1"/>
  <c r="C49" i="38" l="1"/>
  <c r="L44" i="38"/>
  <c r="M44" i="38" s="1"/>
  <c r="L49" i="38" l="1"/>
  <c r="M49" i="38" s="1"/>
  <c r="C54" i="38"/>
  <c r="L54" i="38" l="1"/>
  <c r="M54" i="38" s="1"/>
  <c r="C59" i="38"/>
  <c r="C64" i="38" l="1"/>
  <c r="L59" i="38"/>
  <c r="M59" i="38" s="1"/>
  <c r="C69" i="38" l="1"/>
  <c r="L64" i="38"/>
  <c r="M64" i="38" s="1"/>
  <c r="L69" i="38" l="1"/>
  <c r="M69" i="38" s="1"/>
  <c r="C74" i="38"/>
  <c r="L74" i="38" l="1"/>
  <c r="M74" i="38" s="1"/>
  <c r="C79" i="38"/>
  <c r="C84" i="38" l="1"/>
  <c r="L84" i="38" s="1"/>
  <c r="L79" i="38"/>
  <c r="M79" i="38" s="1"/>
  <c r="M84" i="38" l="1"/>
  <c r="L108" i="38"/>
  <c r="M108" i="38" l="1"/>
  <c r="K108" i="38" l="1"/>
  <c r="N19" i="38"/>
  <c r="N24" i="38"/>
  <c r="N29" i="38"/>
  <c r="N34" i="38"/>
  <c r="N39" i="38"/>
  <c r="N44" i="38"/>
  <c r="N49" i="38"/>
  <c r="N54" i="38"/>
  <c r="N59" i="38"/>
  <c r="N64" i="38"/>
  <c r="N69" i="38"/>
  <c r="N74" i="38"/>
  <c r="N79" i="38"/>
  <c r="N84" i="38"/>
  <c r="N108" i="38" l="1"/>
  <c r="O82" i="37" l="1"/>
  <c r="O81" i="37"/>
  <c r="G58" i="37"/>
  <c r="G57" i="37"/>
  <c r="G56" i="37"/>
  <c r="G55" i="37"/>
  <c r="K54" i="37"/>
  <c r="G53" i="37"/>
  <c r="G52" i="37"/>
  <c r="G51" i="37"/>
  <c r="G50" i="37"/>
  <c r="K49" i="37"/>
  <c r="G48" i="37"/>
  <c r="G47" i="37"/>
  <c r="G46" i="37"/>
  <c r="G45" i="37"/>
  <c r="K44" i="37"/>
  <c r="G43" i="37"/>
  <c r="G42" i="37"/>
  <c r="G41" i="37"/>
  <c r="G40" i="37"/>
  <c r="K39" i="37"/>
  <c r="G38" i="37"/>
  <c r="G37" i="37"/>
  <c r="G36" i="37"/>
  <c r="G35" i="37"/>
  <c r="K34" i="37"/>
  <c r="G33" i="37"/>
  <c r="G32" i="37"/>
  <c r="G31" i="37"/>
  <c r="G30" i="37"/>
  <c r="K29" i="37"/>
  <c r="G28" i="37"/>
  <c r="G27" i="37"/>
  <c r="G26" i="37"/>
  <c r="G25" i="37"/>
  <c r="K24" i="37"/>
  <c r="G23" i="37"/>
  <c r="G22" i="37"/>
  <c r="G21" i="37"/>
  <c r="G20" i="37"/>
  <c r="K19" i="37"/>
  <c r="C18" i="37"/>
  <c r="C19" i="37" s="1"/>
  <c r="C24" i="37" l="1"/>
  <c r="L19" i="37"/>
  <c r="M19" i="37" s="1"/>
  <c r="C29" i="37" l="1"/>
  <c r="L24" i="37"/>
  <c r="M24" i="37" s="1"/>
  <c r="L29" i="37" l="1"/>
  <c r="M29" i="37" s="1"/>
  <c r="C34" i="37"/>
  <c r="L34" i="37" l="1"/>
  <c r="C39" i="37"/>
  <c r="M34" i="37" l="1"/>
  <c r="C44" i="37"/>
  <c r="L39" i="37"/>
  <c r="M39" i="37" s="1"/>
  <c r="C49" i="37" l="1"/>
  <c r="L44" i="37"/>
  <c r="M44" i="37" s="1"/>
  <c r="L49" i="37" l="1"/>
  <c r="M49" i="37" s="1"/>
  <c r="C54" i="37"/>
  <c r="L54" i="37" s="1"/>
  <c r="M54" i="37" l="1"/>
  <c r="L78" i="37"/>
  <c r="M78" i="37" l="1"/>
  <c r="K78" i="37" l="1"/>
  <c r="N19" i="37"/>
  <c r="N24" i="37"/>
  <c r="N29" i="37"/>
  <c r="N39" i="37"/>
  <c r="N34" i="37"/>
  <c r="N44" i="37"/>
  <c r="N49" i="37"/>
  <c r="N54" i="37"/>
  <c r="N78" i="37" l="1"/>
  <c r="O82" i="36" l="1"/>
  <c r="O81" i="36"/>
  <c r="G58" i="36"/>
  <c r="G57" i="36"/>
  <c r="G56" i="36"/>
  <c r="G55" i="36"/>
  <c r="K54" i="36"/>
  <c r="G53" i="36"/>
  <c r="G52" i="36"/>
  <c r="G51" i="36"/>
  <c r="G50" i="36"/>
  <c r="K49" i="36"/>
  <c r="G48" i="36"/>
  <c r="G47" i="36"/>
  <c r="G46" i="36"/>
  <c r="G45" i="36"/>
  <c r="K44" i="36"/>
  <c r="G43" i="36"/>
  <c r="G42" i="36"/>
  <c r="G41" i="36"/>
  <c r="G40" i="36"/>
  <c r="K39" i="36"/>
  <c r="G38" i="36"/>
  <c r="G37" i="36"/>
  <c r="G36" i="36"/>
  <c r="G35" i="36"/>
  <c r="K34" i="36"/>
  <c r="G33" i="36"/>
  <c r="G32" i="36"/>
  <c r="G31" i="36"/>
  <c r="G30" i="36"/>
  <c r="K29" i="36"/>
  <c r="G28" i="36"/>
  <c r="G27" i="36"/>
  <c r="G26" i="36"/>
  <c r="G25" i="36"/>
  <c r="K24" i="36"/>
  <c r="G23" i="36"/>
  <c r="G22" i="36"/>
  <c r="G21" i="36"/>
  <c r="G20" i="36"/>
  <c r="K19" i="36"/>
  <c r="C18" i="36"/>
  <c r="C19" i="36" s="1"/>
  <c r="C24" i="36" l="1"/>
  <c r="L19" i="36"/>
  <c r="L24" i="36" l="1"/>
  <c r="M24" i="36" s="1"/>
  <c r="C29" i="36"/>
  <c r="M19" i="36"/>
  <c r="L29" i="36" l="1"/>
  <c r="C34" i="36"/>
  <c r="L34" i="36" l="1"/>
  <c r="M34" i="36" s="1"/>
  <c r="C39" i="36"/>
  <c r="M29" i="36"/>
  <c r="C44" i="36" l="1"/>
  <c r="L39" i="36"/>
  <c r="M39" i="36" l="1"/>
  <c r="C49" i="36"/>
  <c r="L44" i="36"/>
  <c r="M44" i="36" s="1"/>
  <c r="C54" i="36" l="1"/>
  <c r="L54" i="36" s="1"/>
  <c r="M54" i="36" s="1"/>
  <c r="L49" i="36"/>
  <c r="M49" i="36" s="1"/>
  <c r="L78" i="36"/>
  <c r="M78" i="36" l="1"/>
  <c r="N54" i="36"/>
  <c r="K78" i="36" l="1"/>
  <c r="N19" i="36"/>
  <c r="N24" i="36"/>
  <c r="N29" i="36"/>
  <c r="N34" i="36"/>
  <c r="N39" i="36"/>
  <c r="N44" i="36"/>
  <c r="N49" i="36"/>
  <c r="N78" i="36" l="1"/>
  <c r="O77" i="35" l="1"/>
  <c r="O76" i="35"/>
  <c r="G71" i="35"/>
  <c r="G67" i="35"/>
  <c r="D67" i="35"/>
  <c r="G65" i="35"/>
  <c r="K62" i="35"/>
  <c r="E62" i="35"/>
  <c r="G70" i="35" s="1"/>
  <c r="D62" i="35"/>
  <c r="B62" i="35"/>
  <c r="G53" i="35"/>
  <c r="G52" i="35"/>
  <c r="G51" i="35"/>
  <c r="G50" i="35"/>
  <c r="K49" i="35"/>
  <c r="G48" i="35"/>
  <c r="G47" i="35"/>
  <c r="G46" i="35"/>
  <c r="G45" i="35"/>
  <c r="K44" i="35"/>
  <c r="G43" i="35"/>
  <c r="G42" i="35"/>
  <c r="G41" i="35"/>
  <c r="G40" i="35"/>
  <c r="K39" i="35"/>
  <c r="G38" i="35"/>
  <c r="G37" i="35"/>
  <c r="G36" i="35"/>
  <c r="G35" i="35"/>
  <c r="K34" i="35"/>
  <c r="G33" i="35"/>
  <c r="G32" i="35"/>
  <c r="G31" i="35"/>
  <c r="G30" i="35"/>
  <c r="G28" i="35"/>
  <c r="G27" i="35"/>
  <c r="G26" i="35"/>
  <c r="G25" i="35"/>
  <c r="K24" i="35"/>
  <c r="G23" i="35"/>
  <c r="G22" i="35"/>
  <c r="G21" i="35"/>
  <c r="G20" i="35"/>
  <c r="K19" i="35"/>
  <c r="C18" i="35"/>
  <c r="C19" i="35" s="1"/>
  <c r="C24" i="35" l="1"/>
  <c r="L19" i="35"/>
  <c r="G66" i="35"/>
  <c r="G63" i="35"/>
  <c r="G69" i="35"/>
  <c r="G68" i="35"/>
  <c r="G72" i="35"/>
  <c r="G64" i="35"/>
  <c r="M19" i="35" l="1"/>
  <c r="C62" i="35"/>
  <c r="C29" i="35"/>
  <c r="L24" i="35"/>
  <c r="M24" i="35" s="1"/>
  <c r="C67" i="35" l="1"/>
  <c r="L62" i="35" s="1"/>
  <c r="M62" i="35" s="1"/>
  <c r="C34" i="35"/>
  <c r="C39" i="35" l="1"/>
  <c r="L34" i="35"/>
  <c r="M34" i="35" l="1"/>
  <c r="L39" i="35"/>
  <c r="M39" i="35" s="1"/>
  <c r="C44" i="35"/>
  <c r="C49" i="35" l="1"/>
  <c r="L49" i="35" s="1"/>
  <c r="M49" i="35" s="1"/>
  <c r="L44" i="35"/>
  <c r="M44" i="35" s="1"/>
  <c r="L73" i="35"/>
  <c r="M73" i="35" l="1"/>
  <c r="N49" i="35"/>
  <c r="K73" i="35" l="1"/>
  <c r="N24" i="35"/>
  <c r="N19" i="35"/>
  <c r="N62" i="35"/>
  <c r="N39" i="35"/>
  <c r="N34" i="35"/>
  <c r="N44" i="35"/>
  <c r="N73" i="35" l="1"/>
</calcChain>
</file>

<file path=xl/sharedStrings.xml><?xml version="1.0" encoding="utf-8"?>
<sst xmlns="http://schemas.openxmlformats.org/spreadsheetml/2006/main" count="603" uniqueCount="122">
  <si>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</si>
  <si>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</si>
  <si>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</si>
  <si>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</si>
  <si>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</si>
  <si>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</si>
  <si>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</si>
  <si>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</si>
  <si>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</si>
  <si>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</si>
  <si>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</si>
  <si>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</si>
  <si>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</si>
  <si>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</si>
  <si>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</si>
  <si>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</si>
  <si>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</si>
  <si>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</si>
  <si>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</si>
  <si>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</si>
  <si>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</si>
  <si>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</si>
  <si>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</si>
  <si>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</si>
  <si>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</si>
  <si>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</si>
  <si>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</si>
  <si>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</si>
  <si>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</si>
  <si>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</si>
  <si>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</si>
  <si>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</si>
  <si>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</si>
  <si>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</si>
  <si>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</si>
  <si>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</si>
  <si>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</si>
  <si>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</si>
  <si>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</si>
  <si>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</si>
  <si>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</si>
  <si>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</si>
  <si>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</si>
  <si>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</si>
  <si>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</si>
  <si>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</si>
  <si>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</si>
  <si>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</si>
  <si>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</si>
  <si>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</si>
  <si>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</si>
  <si>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</si>
  <si>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</si>
  <si>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</si>
  <si>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</si>
  <si>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</si>
  <si>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</si>
  <si>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</si>
  <si>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</si>
  <si>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</si>
  <si>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</si>
  <si>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</si>
  <si>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</si>
  <si>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</si>
  <si>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</si>
  <si>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</si>
  <si>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</si>
  <si>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</si>
  <si>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</si>
  <si>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</si>
  <si>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</si>
  <si>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</si>
  <si>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</si>
  <si>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</si>
  <si>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</si>
  <si>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</si>
  <si>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</si>
  <si>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</si>
  <si>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</si>
  <si>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</si>
  <si>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</si>
  <si>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</si>
  <si>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</si>
  <si>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</si>
  <si>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</si>
  <si>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</si>
  <si>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</si>
  <si>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</si>
  <si>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</si>
  <si>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</si>
  <si>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</si>
  <si>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</si>
  <si>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</si>
  <si>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</si>
  <si>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</si>
  <si>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</si>
  <si>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</si>
  <si>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</si>
  <si>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</si>
  <si>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</si>
  <si>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</si>
  <si>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</si>
  <si>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</si>
  <si>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</si>
  <si>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Detalle del aforo</t>
  </si>
  <si>
    <t xml:space="preserve">TOME DE TEMPERATURA </t>
  </si>
  <si>
    <t xml:space="preserve"> SECCION DE AFORO</t>
  </si>
  <si>
    <t>Cálido</t>
  </si>
  <si>
    <t>Medida de la temperatura</t>
  </si>
  <si>
    <t>QUEBRADA LAS PAVAS - AUTOPISTAS DEL CAFÉ</t>
  </si>
  <si>
    <t>N 5°4'53.88"</t>
  </si>
  <si>
    <t>W 75°30'40.74"</t>
  </si>
  <si>
    <t>Organizando sección de aforo</t>
  </si>
  <si>
    <t>CARLOS COCUY</t>
  </si>
  <si>
    <t>Frio</t>
  </si>
  <si>
    <t>Como la altura maxima es inferior a 0.125 m, el calculo de Vx no aplica</t>
  </si>
  <si>
    <t>Lluvioso</t>
  </si>
  <si>
    <t>Como la altura maxima es inferior a 0.125 m, el calculo de Vx no aplica.
Empezo a llover fuerte durante el aforo, razón por la cual el personal se tuvo que retirar.</t>
  </si>
  <si>
    <t>QUEBRADA LAS PAVAS- AUTOPISTA DEL CAFE</t>
  </si>
  <si>
    <t>FRIO CON LLOVIZNAS</t>
  </si>
  <si>
    <t>Formato L1.2: Medición de caudal por el método área-velocidad: medidas desde la superficie del agua con medidor electromagnético</t>
  </si>
  <si>
    <t>Convenio 221/2016 OPERACIÓN Y MANTENIMIENTO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</si>
</sst>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3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8" xfId="0" applyFont="1" applyBorder="1"/>
    <xf numFmtId="0" fontId="0" fillId="0" borderId="0" xfId="0" applyFont="1" applyAlignment="1"/>
    <xf numFmtId="0" fontId="2" fillId="0" borderId="38" xfId="0" applyFont="1" applyBorder="1"/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15" fillId="5" borderId="48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15" fillId="0" borderId="4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55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15" fillId="0" borderId="64" xfId="0" applyFont="1" applyFill="1" applyBorder="1" applyAlignment="1">
      <alignment horizontal="center" vertical="center"/>
    </xf>
    <xf numFmtId="0" fontId="19" fillId="0" borderId="71" xfId="0" applyFont="1" applyFill="1" applyBorder="1" applyAlignment="1">
      <alignment vertical="top" wrapText="1"/>
    </xf>
    <xf numFmtId="0" fontId="19" fillId="0" borderId="55" xfId="0" applyFont="1" applyFill="1" applyBorder="1" applyAlignment="1">
      <alignment horizontal="center" vertical="top" wrapText="1"/>
    </xf>
    <xf numFmtId="0" fontId="19" fillId="0" borderId="74" xfId="0" applyFont="1" applyFill="1" applyBorder="1" applyAlignment="1">
      <alignment horizontal="center"/>
    </xf>
    <xf numFmtId="0" fontId="15" fillId="0" borderId="64" xfId="0" applyFont="1" applyFill="1" applyBorder="1" applyAlignment="1">
      <alignment horizontal="center" vertical="top" wrapText="1"/>
    </xf>
    <xf numFmtId="0" fontId="15" fillId="0" borderId="81" xfId="0" applyFont="1" applyFill="1" applyBorder="1" applyAlignment="1">
      <alignment horizontal="center" vertical="center" wrapText="1"/>
    </xf>
    <xf numFmtId="20" fontId="15" fillId="0" borderId="84" xfId="0" applyNumberFormat="1" applyFont="1" applyFill="1" applyBorder="1" applyAlignment="1">
      <alignment horizontal="center" vertical="top"/>
    </xf>
    <xf numFmtId="0" fontId="15" fillId="0" borderId="85" xfId="0" applyFont="1" applyFill="1" applyBorder="1" applyAlignment="1">
      <alignment horizontal="center" vertical="top"/>
    </xf>
    <xf numFmtId="0" fontId="15" fillId="0" borderId="74" xfId="0" applyFont="1" applyFill="1" applyBorder="1" applyAlignment="1">
      <alignment horizontal="center" vertical="center"/>
    </xf>
    <xf numFmtId="0" fontId="15" fillId="0" borderId="88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94" xfId="0" applyFont="1" applyFill="1" applyBorder="1" applyAlignment="1">
      <alignment vertical="center"/>
    </xf>
    <xf numFmtId="0" fontId="18" fillId="6" borderId="94" xfId="0" applyFont="1" applyFill="1" applyBorder="1" applyAlignment="1">
      <alignment horizontal="center" vertical="center"/>
    </xf>
    <xf numFmtId="0" fontId="18" fillId="6" borderId="55" xfId="0" applyFont="1" applyFill="1" applyBorder="1" applyAlignment="1">
      <alignment horizontal="center" vertical="center"/>
    </xf>
    <xf numFmtId="0" fontId="2" fillId="0" borderId="88" xfId="0" applyFont="1" applyBorder="1"/>
    <xf numFmtId="0" fontId="18" fillId="6" borderId="88" xfId="0" applyFont="1" applyFill="1" applyBorder="1" applyAlignment="1">
      <alignment vertical="center"/>
    </xf>
    <xf numFmtId="0" fontId="18" fillId="6" borderId="97" xfId="0" applyFont="1" applyFill="1" applyBorder="1" applyAlignment="1">
      <alignment horizontal="center" vertical="center"/>
    </xf>
    <xf numFmtId="0" fontId="18" fillId="6" borderId="84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76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18" fillId="0" borderId="92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vertical="center"/>
    </xf>
    <xf numFmtId="164" fontId="14" fillId="0" borderId="92" xfId="0" applyNumberFormat="1" applyFont="1" applyFill="1" applyBorder="1" applyAlignment="1">
      <alignment vertical="center"/>
    </xf>
    <xf numFmtId="0" fontId="18" fillId="0" borderId="9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4" xfId="0" applyFont="1" applyFill="1" applyBorder="1" applyAlignment="1">
      <alignment horizontal="center"/>
    </xf>
    <xf numFmtId="2" fontId="14" fillId="0" borderId="94" xfId="0" applyNumberFormat="1" applyFont="1" applyFill="1" applyBorder="1" applyAlignment="1">
      <alignment horizontal="center" vertical="center"/>
    </xf>
    <xf numFmtId="2" fontId="14" fillId="0" borderId="94" xfId="0" applyNumberFormat="1" applyFont="1" applyFill="1" applyBorder="1" applyAlignment="1">
      <alignment vertical="center"/>
    </xf>
    <xf numFmtId="0" fontId="2" fillId="0" borderId="94" xfId="0" applyFont="1" applyFill="1" applyBorder="1"/>
    <xf numFmtId="164" fontId="14" fillId="0" borderId="94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5" xfId="0" applyFont="1" applyFill="1" applyBorder="1" applyAlignment="1">
      <alignment vertical="center" wrapText="1"/>
    </xf>
    <xf numFmtId="0" fontId="24" fillId="0" borderId="38" xfId="0" applyFont="1" applyBorder="1"/>
    <xf numFmtId="2" fontId="14" fillId="10" borderId="109" xfId="0" applyNumberFormat="1" applyFont="1" applyFill="1" applyBorder="1" applyAlignment="1">
      <alignment horizontal="center" vertical="center"/>
    </xf>
    <xf numFmtId="2" fontId="14" fillId="10" borderId="109" xfId="0" applyNumberFormat="1" applyFont="1" applyFill="1" applyBorder="1" applyAlignment="1">
      <alignment horizontal="center"/>
    </xf>
    <xf numFmtId="164" fontId="2" fillId="10" borderId="109" xfId="0" applyNumberFormat="1" applyFont="1" applyFill="1" applyBorder="1" applyAlignment="1">
      <alignment horizontal="center"/>
    </xf>
    <xf numFmtId="164" fontId="2" fillId="9" borderId="109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99" xfId="0" applyFont="1" applyFill="1" applyBorder="1" applyAlignment="1">
      <alignment horizontal="center"/>
    </xf>
    <xf numFmtId="2" fontId="14" fillId="10" borderId="99" xfId="0" applyNumberFormat="1" applyFont="1" applyFill="1" applyBorder="1" applyAlignment="1">
      <alignment horizontal="center" vertical="center"/>
    </xf>
    <xf numFmtId="2" fontId="14" fillId="10" borderId="99" xfId="0" applyNumberFormat="1" applyFont="1" applyFill="1" applyBorder="1" applyAlignment="1">
      <alignment horizontal="center"/>
    </xf>
    <xf numFmtId="164" fontId="2" fillId="10" borderId="99" xfId="0" applyNumberFormat="1" applyFont="1" applyFill="1" applyBorder="1" applyAlignment="1">
      <alignment horizontal="center"/>
    </xf>
    <xf numFmtId="164" fontId="2" fillId="9" borderId="99" xfId="0" applyNumberFormat="1" applyFont="1" applyFill="1" applyBorder="1" applyAlignment="1">
      <alignment horizontal="center"/>
    </xf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11" borderId="116" xfId="0" applyNumberFormat="1" applyFont="1" applyFill="1" applyBorder="1" applyAlignment="1">
      <alignment horizontal="center"/>
    </xf>
    <xf numFmtId="0" fontId="18" fillId="6" borderId="77" xfId="0" applyFont="1" applyFill="1" applyBorder="1" applyAlignment="1">
      <alignment horizontal="center" vertical="center"/>
    </xf>
    <xf numFmtId="164" fontId="18" fillId="5" borderId="119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horizontal="center" vertical="center"/>
    </xf>
    <xf numFmtId="164" fontId="22" fillId="11" borderId="1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24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4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3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8" xfId="0" applyFont="1" applyFill="1" applyBorder="1" applyAlignment="1">
      <alignment horizontal="center" vertical="center"/>
    </xf>
    <xf numFmtId="0" fontId="14" fillId="3" borderId="95" xfId="0" applyFont="1" applyFill="1" applyBorder="1"/>
    <xf numFmtId="0" fontId="14" fillId="3" borderId="115" xfId="0" applyFont="1" applyFill="1" applyBorder="1"/>
    <xf numFmtId="166" fontId="14" fillId="10" borderId="108" xfId="0" applyNumberFormat="1" applyFont="1" applyFill="1" applyBorder="1" applyAlignment="1">
      <alignment horizontal="center" vertical="center"/>
    </xf>
    <xf numFmtId="0" fontId="14" fillId="10" borderId="110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26" xfId="0" applyFont="1" applyFill="1" applyBorder="1"/>
    <xf numFmtId="2" fontId="14" fillId="9" borderId="97" xfId="0" applyNumberFormat="1" applyFont="1" applyFill="1" applyBorder="1" applyAlignment="1">
      <alignment horizontal="center" vertical="center"/>
    </xf>
    <xf numFmtId="164" fontId="14" fillId="9" borderId="9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07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4" xfId="0" applyFont="1" applyFill="1" applyBorder="1"/>
    <xf numFmtId="2" fontId="14" fillId="9" borderId="108" xfId="0" applyNumberFormat="1" applyFont="1" applyFill="1" applyBorder="1" applyAlignment="1">
      <alignment horizontal="center" vertical="center"/>
    </xf>
    <xf numFmtId="0" fontId="14" fillId="3" borderId="113" xfId="0" applyFont="1" applyFill="1" applyBorder="1"/>
    <xf numFmtId="164" fontId="14" fillId="9" borderId="108" xfId="0" applyNumberFormat="1" applyFont="1" applyFill="1" applyBorder="1" applyAlignment="1">
      <alignment horizontal="center" vertical="center"/>
    </xf>
    <xf numFmtId="164" fontId="14" fillId="10" borderId="10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0" fontId="14" fillId="0" borderId="95" xfId="0" applyFont="1" applyFill="1" applyBorder="1"/>
    <xf numFmtId="0" fontId="14" fillId="0" borderId="101" xfId="0" applyFont="1" applyFill="1" applyBorder="1"/>
    <xf numFmtId="165" fontId="14" fillId="0" borderId="92" xfId="0" applyNumberFormat="1" applyFont="1" applyFill="1" applyBorder="1" applyAlignment="1">
      <alignment horizontal="center" vertical="center"/>
    </xf>
    <xf numFmtId="0" fontId="14" fillId="0" borderId="92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3" xfId="0" applyFont="1" applyFill="1" applyBorder="1"/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6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14" fillId="0" borderId="80" xfId="0" applyFont="1" applyFill="1" applyBorder="1"/>
    <xf numFmtId="2" fontId="14" fillId="0" borderId="92" xfId="0" applyNumberFormat="1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/>
    </xf>
    <xf numFmtId="0" fontId="14" fillId="7" borderId="43" xfId="0" applyFont="1" applyFill="1" applyBorder="1" applyAlignment="1">
      <alignment horizontal="center"/>
    </xf>
    <xf numFmtId="0" fontId="14" fillId="0" borderId="43" xfId="0" applyFont="1" applyBorder="1"/>
    <xf numFmtId="0" fontId="14" fillId="0" borderId="44" xfId="0" applyFont="1" applyBorder="1"/>
    <xf numFmtId="0" fontId="18" fillId="6" borderId="76" xfId="0" applyFont="1" applyFill="1" applyBorder="1" applyAlignment="1">
      <alignment horizontal="center" vertical="center" wrapText="1"/>
    </xf>
    <xf numFmtId="0" fontId="14" fillId="0" borderId="73" xfId="0" applyFont="1" applyBorder="1"/>
    <xf numFmtId="0" fontId="18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8" fillId="6" borderId="92" xfId="0" applyFont="1" applyFill="1" applyBorder="1" applyAlignment="1">
      <alignment horizontal="center" vertical="center"/>
    </xf>
    <xf numFmtId="0" fontId="18" fillId="6" borderId="52" xfId="0" applyFont="1" applyFill="1" applyBorder="1" applyAlignment="1">
      <alignment horizontal="center" vertical="center"/>
    </xf>
    <xf numFmtId="0" fontId="14" fillId="0" borderId="40" xfId="0" applyFont="1" applyBorder="1"/>
    <xf numFmtId="0" fontId="14" fillId="0" borderId="78" xfId="0" applyFont="1" applyBorder="1"/>
    <xf numFmtId="0" fontId="14" fillId="0" borderId="0" xfId="0" applyFont="1" applyBorder="1"/>
    <xf numFmtId="0" fontId="18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8" fillId="6" borderId="39" xfId="0" applyFont="1" applyFill="1" applyBorder="1" applyAlignment="1">
      <alignment horizontal="center" vertical="center" textRotation="90" wrapText="1"/>
    </xf>
    <xf numFmtId="0" fontId="14" fillId="0" borderId="90" xfId="0" applyFont="1" applyBorder="1"/>
    <xf numFmtId="0" fontId="14" fillId="0" borderId="42" xfId="0" applyFont="1" applyBorder="1"/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7" borderId="9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1" xfId="0" applyFont="1" applyBorder="1"/>
    <xf numFmtId="0" fontId="14" fillId="7" borderId="42" xfId="0" applyFont="1" applyFill="1" applyBorder="1" applyAlignment="1">
      <alignment horizontal="center" vertical="center" wrapText="1"/>
    </xf>
    <xf numFmtId="0" fontId="2" fillId="0" borderId="83" xfId="0" applyFont="1" applyFill="1" applyBorder="1" applyAlignment="1">
      <alignment horizontal="center" vertical="center" wrapText="1"/>
    </xf>
    <xf numFmtId="0" fontId="14" fillId="0" borderId="86" xfId="0" applyFont="1" applyFill="1" applyBorder="1"/>
    <xf numFmtId="0" fontId="2" fillId="0" borderId="62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2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 vertical="top"/>
    </xf>
    <xf numFmtId="0" fontId="15" fillId="0" borderId="62" xfId="0" applyFont="1" applyFill="1" applyBorder="1" applyAlignment="1">
      <alignment horizontal="center" vertical="center" wrapText="1"/>
    </xf>
    <xf numFmtId="0" fontId="16" fillId="0" borderId="89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75" xfId="0" applyFont="1" applyFill="1" applyBorder="1"/>
    <xf numFmtId="0" fontId="2" fillId="0" borderId="83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 vertical="top"/>
    </xf>
    <xf numFmtId="0" fontId="14" fillId="0" borderId="54" xfId="0" applyFont="1" applyFill="1" applyBorder="1"/>
    <xf numFmtId="0" fontId="15" fillId="0" borderId="65" xfId="0" applyFont="1" applyFill="1" applyBorder="1" applyAlignment="1">
      <alignment horizontal="center"/>
    </xf>
    <xf numFmtId="0" fontId="16" fillId="0" borderId="65" xfId="0" applyFont="1" applyFill="1" applyBorder="1"/>
    <xf numFmtId="0" fontId="19" fillId="0" borderId="66" xfId="0" applyFont="1" applyFill="1" applyBorder="1" applyAlignment="1">
      <alignment horizontal="center"/>
    </xf>
    <xf numFmtId="0" fontId="16" fillId="0" borderId="67" xfId="0" applyFont="1" applyFill="1" applyBorder="1"/>
    <xf numFmtId="0" fontId="16" fillId="0" borderId="68" xfId="0" applyFont="1" applyFill="1" applyBorder="1"/>
    <xf numFmtId="0" fontId="19" fillId="0" borderId="69" xfId="0" applyFont="1" applyFill="1" applyBorder="1" applyAlignment="1">
      <alignment horizontal="center"/>
    </xf>
    <xf numFmtId="0" fontId="16" fillId="0" borderId="70" xfId="0" applyFont="1" applyFill="1" applyBorder="1"/>
    <xf numFmtId="0" fontId="18" fillId="6" borderId="72" xfId="0" applyFont="1" applyFill="1" applyBorder="1" applyAlignment="1">
      <alignment horizontal="center" vertical="center" wrapText="1"/>
    </xf>
    <xf numFmtId="0" fontId="14" fillId="0" borderId="79" xfId="0" applyFont="1" applyBorder="1"/>
    <xf numFmtId="0" fontId="14" fillId="0" borderId="87" xfId="0" applyFont="1" applyBorder="1"/>
    <xf numFmtId="0" fontId="20" fillId="0" borderId="73" xfId="0" applyFont="1" applyFill="1" applyBorder="1" applyAlignment="1">
      <alignment horizontal="center" vertical="center" wrapText="1"/>
    </xf>
    <xf numFmtId="0" fontId="2" fillId="0" borderId="74" xfId="0" applyFont="1" applyFill="1" applyBorder="1" applyAlignment="1">
      <alignment horizontal="center" vertical="center"/>
    </xf>
    <xf numFmtId="0" fontId="20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0" xfId="0" applyFont="1" applyFill="1" applyBorder="1"/>
    <xf numFmtId="0" fontId="16" fillId="0" borderId="41" xfId="0" applyFont="1" applyFill="1" applyBorder="1"/>
    <xf numFmtId="0" fontId="16" fillId="0" borderId="82" xfId="0" applyFont="1" applyFill="1" applyBorder="1"/>
    <xf numFmtId="0" fontId="16" fillId="0" borderId="43" xfId="0" applyFont="1" applyFill="1" applyBorder="1"/>
    <xf numFmtId="0" fontId="16" fillId="0" borderId="44" xfId="0" applyFont="1" applyFill="1" applyBorder="1"/>
    <xf numFmtId="0" fontId="2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/>
    </xf>
    <xf numFmtId="0" fontId="15" fillId="0" borderId="52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vertical="center"/>
    </xf>
    <xf numFmtId="0" fontId="16" fillId="0" borderId="41" xfId="0" applyFont="1" applyFill="1" applyBorder="1" applyAlignment="1">
      <alignment vertical="center"/>
    </xf>
    <xf numFmtId="0" fontId="17" fillId="0" borderId="52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vertical="center"/>
    </xf>
    <xf numFmtId="0" fontId="18" fillId="6" borderId="3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14" fillId="0" borderId="56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4" fillId="0" borderId="59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60" xfId="0" applyFont="1" applyFill="1" applyBorder="1"/>
    <xf numFmtId="0" fontId="13" fillId="0" borderId="40" xfId="0" applyFont="1" applyBorder="1" applyAlignment="1">
      <alignment horizontal="center" wrapText="1"/>
    </xf>
    <xf numFmtId="14" fontId="15" fillId="0" borderId="46" xfId="0" applyNumberFormat="1" applyFont="1" applyFill="1" applyBorder="1" applyAlignment="1">
      <alignment horizontal="center" vertical="center"/>
    </xf>
    <xf numFmtId="0" fontId="16" fillId="0" borderId="47" xfId="0" applyFont="1" applyFill="1" applyBorder="1"/>
    <xf numFmtId="0" fontId="15" fillId="0" borderId="46" xfId="0" applyFont="1" applyBorder="1" applyAlignment="1">
      <alignment horizontal="center" vertical="center" wrapText="1"/>
    </xf>
    <xf numFmtId="0" fontId="16" fillId="0" borderId="47" xfId="0" applyFont="1" applyBorder="1"/>
    <xf numFmtId="0" fontId="16" fillId="0" borderId="49" xfId="0" applyFont="1" applyBorder="1"/>
    <xf numFmtId="0" fontId="1" fillId="0" borderId="34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0" fillId="0" borderId="32" xfId="0" applyFont="1" applyBorder="1"/>
    <xf numFmtId="0" fontId="0" fillId="0" borderId="12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2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27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10.png"/><Relationship Id="rId2" Type="http://schemas.openxmlformats.org/officeDocument/2006/relationships/image" Target="../media/image14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7" Type="http://schemas.openxmlformats.org/officeDocument/2006/relationships/image" Target="../media/image10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9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47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829175"/>
          <a:ext cx="5334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641020</xdr:colOff>
      <xdr:row>59</xdr:row>
      <xdr:rowOff>105833</xdr:rowOff>
    </xdr:from>
    <xdr:ext cx="228140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46220" y="12031133"/>
          <a:ext cx="228140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231511</xdr:colOff>
      <xdr:row>75</xdr:row>
      <xdr:rowOff>170657</xdr:rowOff>
    </xdr:from>
    <xdr:to>
      <xdr:col>5</xdr:col>
      <xdr:colOff>491407</xdr:colOff>
      <xdr:row>81</xdr:row>
      <xdr:rowOff>68303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41036" y="15277307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343958</xdr:colOff>
      <xdr:row>76</xdr:row>
      <xdr:rowOff>3969</xdr:rowOff>
    </xdr:from>
    <xdr:to>
      <xdr:col>10</xdr:col>
      <xdr:colOff>493543</xdr:colOff>
      <xdr:row>81</xdr:row>
      <xdr:rowOff>92115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49158" y="15301119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114281</xdr:colOff>
      <xdr:row>84</xdr:row>
      <xdr:rowOff>90469</xdr:rowOff>
    </xdr:from>
    <xdr:to>
      <xdr:col>15</xdr:col>
      <xdr:colOff>456781</xdr:colOff>
      <xdr:row>84</xdr:row>
      <xdr:rowOff>1890469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56" y="18006994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180937</xdr:colOff>
      <xdr:row>84</xdr:row>
      <xdr:rowOff>133313</xdr:rowOff>
    </xdr:from>
    <xdr:to>
      <xdr:col>10</xdr:col>
      <xdr:colOff>523437</xdr:colOff>
      <xdr:row>84</xdr:row>
      <xdr:rowOff>1933313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37" y="18049838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547688</xdr:colOff>
      <xdr:row>84</xdr:row>
      <xdr:rowOff>83345</xdr:rowOff>
    </xdr:from>
    <xdr:to>
      <xdr:col>4</xdr:col>
      <xdr:colOff>131438</xdr:colOff>
      <xdr:row>84</xdr:row>
      <xdr:rowOff>1883345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388" y="17999870"/>
          <a:ext cx="10125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53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0984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0984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56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1520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1520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56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1473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1473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56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1544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1544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56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1513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1513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56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1540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1540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53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0952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0952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53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0937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0937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53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031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031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38874</xdr:rowOff>
    </xdr:from>
    <xdr:to>
      <xdr:col>3</xdr:col>
      <xdr:colOff>402428</xdr:colOff>
      <xdr:row>2</xdr:row>
      <xdr:rowOff>285407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1459" y="98405"/>
          <a:ext cx="1500188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61912</xdr:rowOff>
    </xdr:from>
    <xdr:to>
      <xdr:col>15</xdr:col>
      <xdr:colOff>350544</xdr:colOff>
      <xdr:row>2</xdr:row>
      <xdr:rowOff>271462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21986" y="121443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688643</xdr:colOff>
      <xdr:row>64</xdr:row>
      <xdr:rowOff>105832</xdr:rowOff>
    </xdr:from>
    <xdr:ext cx="25195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93843" y="12888382"/>
          <a:ext cx="25195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80</xdr:row>
      <xdr:rowOff>170657</xdr:rowOff>
    </xdr:from>
    <xdr:to>
      <xdr:col>5</xdr:col>
      <xdr:colOff>408063</xdr:colOff>
      <xdr:row>86</xdr:row>
      <xdr:rowOff>92116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6134557"/>
          <a:ext cx="3041196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272521</xdr:colOff>
      <xdr:row>80</xdr:row>
      <xdr:rowOff>170656</xdr:rowOff>
    </xdr:from>
    <xdr:to>
      <xdr:col>10</xdr:col>
      <xdr:colOff>422106</xdr:colOff>
      <xdr:row>86</xdr:row>
      <xdr:rowOff>92115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77721" y="16134556"/>
          <a:ext cx="3007085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590550</xdr:colOff>
      <xdr:row>89</xdr:row>
      <xdr:rowOff>104775</xdr:rowOff>
    </xdr:from>
    <xdr:to>
      <xdr:col>5</xdr:col>
      <xdr:colOff>133050</xdr:colOff>
      <xdr:row>89</xdr:row>
      <xdr:rowOff>1904775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859500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434025</xdr:colOff>
      <xdr:row>89</xdr:row>
      <xdr:rowOff>26175</xdr:rowOff>
    </xdr:from>
    <xdr:to>
      <xdr:col>14</xdr:col>
      <xdr:colOff>407175</xdr:colOff>
      <xdr:row>89</xdr:row>
      <xdr:rowOff>1946175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966425" y="19039950"/>
          <a:ext cx="1920000" cy="1401900"/>
        </a:xfrm>
        <a:prstGeom prst="rect">
          <a:avLst/>
        </a:prstGeom>
      </xdr:spPr>
    </xdr:pic>
    <xdr:clientData/>
  </xdr:twoCellAnchor>
  <xdr:twoCellAnchor editAs="oneCell">
    <xdr:from>
      <xdr:col>7</xdr:col>
      <xdr:colOff>374475</xdr:colOff>
      <xdr:row>89</xdr:row>
      <xdr:rowOff>61875</xdr:rowOff>
    </xdr:from>
    <xdr:to>
      <xdr:col>9</xdr:col>
      <xdr:colOff>347625</xdr:colOff>
      <xdr:row>89</xdr:row>
      <xdr:rowOff>1981875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35000" y="19075650"/>
          <a:ext cx="1920000" cy="14019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58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58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58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58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38874</xdr:rowOff>
    </xdr:from>
    <xdr:to>
      <xdr:col>3</xdr:col>
      <xdr:colOff>402428</xdr:colOff>
      <xdr:row>2</xdr:row>
      <xdr:rowOff>313982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96024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61912</xdr:rowOff>
    </xdr:from>
    <xdr:to>
      <xdr:col>15</xdr:col>
      <xdr:colOff>350544</xdr:colOff>
      <xdr:row>2</xdr:row>
      <xdr:rowOff>300037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2" y="119062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8285</xdr:colOff>
      <xdr:row>64</xdr:row>
      <xdr:rowOff>24191</xdr:rowOff>
    </xdr:from>
    <xdr:ext cx="236644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27860" y="12806741"/>
          <a:ext cx="236644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175381</xdr:colOff>
      <xdr:row>80</xdr:row>
      <xdr:rowOff>172357</xdr:rowOff>
    </xdr:from>
    <xdr:to>
      <xdr:col>5</xdr:col>
      <xdr:colOff>435277</xdr:colOff>
      <xdr:row>86</xdr:row>
      <xdr:rowOff>277512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84906" y="16136257"/>
          <a:ext cx="3041196" cy="180060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255511</xdr:colOff>
      <xdr:row>80</xdr:row>
      <xdr:rowOff>158750</xdr:rowOff>
    </xdr:from>
    <xdr:to>
      <xdr:col>10</xdr:col>
      <xdr:colOff>405096</xdr:colOff>
      <xdr:row>86</xdr:row>
      <xdr:rowOff>263905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60711" y="16122650"/>
          <a:ext cx="3007085" cy="180060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349250</xdr:colOff>
      <xdr:row>89</xdr:row>
      <xdr:rowOff>84666</xdr:rowOff>
    </xdr:from>
    <xdr:to>
      <xdr:col>4</xdr:col>
      <xdr:colOff>674916</xdr:colOff>
      <xdr:row>89</xdr:row>
      <xdr:rowOff>1884666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75" y="18648891"/>
          <a:ext cx="2392591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562750</xdr:colOff>
      <xdr:row>89</xdr:row>
      <xdr:rowOff>160583</xdr:rowOff>
    </xdr:from>
    <xdr:to>
      <xdr:col>10</xdr:col>
      <xdr:colOff>84083</xdr:colOff>
      <xdr:row>89</xdr:row>
      <xdr:rowOff>1960583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950" y="18724808"/>
          <a:ext cx="2378833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617500</xdr:colOff>
      <xdr:row>89</xdr:row>
      <xdr:rowOff>109500</xdr:rowOff>
    </xdr:from>
    <xdr:to>
      <xdr:col>15</xdr:col>
      <xdr:colOff>138833</xdr:colOff>
      <xdr:row>89</xdr:row>
      <xdr:rowOff>1909500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4575" y="18673725"/>
          <a:ext cx="2378833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58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58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58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58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38874</xdr:rowOff>
    </xdr:from>
    <xdr:to>
      <xdr:col>3</xdr:col>
      <xdr:colOff>402428</xdr:colOff>
      <xdr:row>2</xdr:row>
      <xdr:rowOff>313982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96024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61912</xdr:rowOff>
    </xdr:from>
    <xdr:to>
      <xdr:col>15</xdr:col>
      <xdr:colOff>350544</xdr:colOff>
      <xdr:row>2</xdr:row>
      <xdr:rowOff>300037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2" y="119062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8284</xdr:colOff>
      <xdr:row>94</xdr:row>
      <xdr:rowOff>37798</xdr:rowOff>
    </xdr:from>
    <xdr:ext cx="26385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27859" y="17963848"/>
          <a:ext cx="263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161774</xdr:colOff>
      <xdr:row>110</xdr:row>
      <xdr:rowOff>131536</xdr:rowOff>
    </xdr:from>
    <xdr:to>
      <xdr:col>5</xdr:col>
      <xdr:colOff>421670</xdr:colOff>
      <xdr:row>116</xdr:row>
      <xdr:rowOff>155048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299" y="21238936"/>
          <a:ext cx="3041196" cy="180468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309940</xdr:colOff>
      <xdr:row>110</xdr:row>
      <xdr:rowOff>131536</xdr:rowOff>
    </xdr:from>
    <xdr:to>
      <xdr:col>10</xdr:col>
      <xdr:colOff>459525</xdr:colOff>
      <xdr:row>116</xdr:row>
      <xdr:rowOff>155048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15140" y="21238936"/>
          <a:ext cx="3007085" cy="180468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693321</xdr:colOff>
      <xdr:row>119</xdr:row>
      <xdr:rowOff>81162</xdr:rowOff>
    </xdr:from>
    <xdr:to>
      <xdr:col>14</xdr:col>
      <xdr:colOff>302078</xdr:colOff>
      <xdr:row>119</xdr:row>
      <xdr:rowOff>1951266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6021" y="23874612"/>
          <a:ext cx="2466257" cy="1870104"/>
        </a:xfrm>
        <a:prstGeom prst="rect">
          <a:avLst/>
        </a:prstGeom>
      </xdr:spPr>
    </xdr:pic>
    <xdr:clientData/>
  </xdr:twoCellAnchor>
  <xdr:twoCellAnchor editAs="oneCell">
    <xdr:from>
      <xdr:col>6</xdr:col>
      <xdr:colOff>489535</xdr:colOff>
      <xdr:row>119</xdr:row>
      <xdr:rowOff>95090</xdr:rowOff>
    </xdr:from>
    <xdr:to>
      <xdr:col>10</xdr:col>
      <xdr:colOff>98293</xdr:colOff>
      <xdr:row>119</xdr:row>
      <xdr:rowOff>1965194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4735" y="23888540"/>
          <a:ext cx="2466258" cy="187010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408215</xdr:colOff>
      <xdr:row>119</xdr:row>
      <xdr:rowOff>81805</xdr:rowOff>
    </xdr:from>
    <xdr:to>
      <xdr:col>5</xdr:col>
      <xdr:colOff>98615</xdr:colOff>
      <xdr:row>119</xdr:row>
      <xdr:rowOff>1951909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40" y="23875255"/>
          <a:ext cx="2471700" cy="187010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38874</xdr:rowOff>
    </xdr:from>
    <xdr:to>
      <xdr:col>3</xdr:col>
      <xdr:colOff>402428</xdr:colOff>
      <xdr:row>2</xdr:row>
      <xdr:rowOff>313982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96024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394642</xdr:colOff>
      <xdr:row>1</xdr:row>
      <xdr:rowOff>61912</xdr:rowOff>
    </xdr:from>
    <xdr:to>
      <xdr:col>15</xdr:col>
      <xdr:colOff>350544</xdr:colOff>
      <xdr:row>2</xdr:row>
      <xdr:rowOff>300037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2" y="119062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8"/>
  <sheetViews>
    <sheetView workbookViewId="0">
      <selection activeCell="A39" sqref="A39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40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0"/>
      <c r="D4" s="100"/>
      <c r="E4" s="100"/>
      <c r="F4" s="100"/>
      <c r="G4" s="100"/>
      <c r="H4" s="100"/>
      <c r="I4" s="100"/>
      <c r="J4" s="106"/>
    </row>
    <row r="5" spans="2:10" x14ac:dyDescent="0.25">
      <c r="B5" s="104"/>
      <c r="C5" s="100"/>
      <c r="D5" s="100"/>
      <c r="E5" s="100"/>
      <c r="F5" s="100"/>
      <c r="G5" s="100"/>
      <c r="H5" s="100"/>
      <c r="I5" s="100"/>
      <c r="J5" s="106"/>
    </row>
    <row r="6" spans="2:10" x14ac:dyDescent="0.25">
      <c r="B6" s="104"/>
      <c r="C6" s="100"/>
      <c r="D6" s="100"/>
      <c r="E6" s="100"/>
      <c r="F6" s="100"/>
      <c r="G6" s="100"/>
      <c r="H6" s="100"/>
      <c r="I6" s="100"/>
      <c r="J6" s="106"/>
    </row>
    <row r="7" spans="2:10" x14ac:dyDescent="0.25">
      <c r="B7" s="104"/>
      <c r="C7" s="100"/>
      <c r="D7" s="100"/>
      <c r="E7" s="100"/>
      <c r="F7" s="100"/>
      <c r="G7" s="100"/>
      <c r="H7" s="100"/>
      <c r="I7" s="100"/>
      <c r="J7" s="106"/>
    </row>
    <row r="8" spans="2:10" x14ac:dyDescent="0.25">
      <c r="B8" s="104"/>
      <c r="C8" s="100"/>
      <c r="D8" s="100"/>
      <c r="E8" s="100"/>
      <c r="F8" s="100"/>
      <c r="G8" s="100"/>
      <c r="H8" s="100"/>
      <c r="I8" s="100"/>
      <c r="J8" s="106"/>
    </row>
    <row r="9" spans="2:10" x14ac:dyDescent="0.25">
      <c r="B9" s="104"/>
      <c r="C9" s="100"/>
      <c r="D9" s="100"/>
      <c r="E9" s="100"/>
      <c r="F9" s="100"/>
      <c r="G9" s="100"/>
      <c r="H9" s="100"/>
      <c r="I9" s="100"/>
      <c r="J9" s="106"/>
    </row>
    <row r="10" spans="2:10" x14ac:dyDescent="0.25">
      <c r="B10" s="104"/>
      <c r="C10" s="100"/>
      <c r="D10" s="100"/>
      <c r="E10" s="100"/>
      <c r="F10" s="100"/>
      <c r="G10" s="100"/>
      <c r="H10" s="100"/>
      <c r="I10" s="100"/>
      <c r="J10" s="106"/>
    </row>
    <row r="11" spans="2:10" x14ac:dyDescent="0.25">
      <c r="B11" s="104"/>
      <c r="C11" s="100"/>
      <c r="D11" s="100"/>
      <c r="E11" s="100"/>
      <c r="F11" s="100"/>
      <c r="G11" s="100"/>
      <c r="H11" s="100"/>
      <c r="I11" s="100"/>
      <c r="J11" s="106"/>
    </row>
    <row r="12" spans="2:10" x14ac:dyDescent="0.25">
      <c r="B12" s="104"/>
      <c r="C12" s="100"/>
      <c r="D12" s="100"/>
      <c r="E12" s="100"/>
      <c r="F12" s="100"/>
      <c r="G12" s="100"/>
      <c r="H12" s="100"/>
      <c r="I12" s="100"/>
      <c r="J12" s="106"/>
    </row>
    <row r="13" spans="2:10" x14ac:dyDescent="0.25">
      <c r="B13" s="104"/>
      <c r="C13" s="100"/>
      <c r="D13" s="100"/>
      <c r="E13" s="100"/>
      <c r="F13" s="100"/>
      <c r="G13" s="100"/>
      <c r="H13" s="100"/>
      <c r="I13" s="100"/>
      <c r="J13" s="106"/>
    </row>
    <row r="14" spans="2:10" x14ac:dyDescent="0.25">
      <c r="B14" s="104"/>
      <c r="C14" s="100"/>
      <c r="D14" s="100"/>
      <c r="E14" s="100"/>
      <c r="F14" s="100"/>
      <c r="G14" s="100"/>
      <c r="H14" s="100"/>
      <c r="I14" s="100"/>
      <c r="J14" s="106"/>
    </row>
    <row r="15" spans="2:10" x14ac:dyDescent="0.25">
      <c r="B15" s="104"/>
      <c r="C15" s="100"/>
      <c r="D15" s="100"/>
      <c r="E15" s="100"/>
      <c r="F15" s="100"/>
      <c r="G15" s="100"/>
      <c r="H15" s="100"/>
      <c r="I15" s="100"/>
      <c r="J15" s="106"/>
    </row>
    <row r="16" spans="2:10" x14ac:dyDescent="0.25">
      <c r="B16" s="104"/>
      <c r="C16" s="100"/>
      <c r="D16" s="100"/>
      <c r="E16" s="100"/>
      <c r="F16" s="100"/>
      <c r="G16" s="100"/>
      <c r="H16" s="100"/>
      <c r="I16" s="100"/>
      <c r="J16" s="106"/>
    </row>
    <row r="17" spans="2:10" x14ac:dyDescent="0.25">
      <c r="B17" s="104"/>
      <c r="C17" s="100"/>
      <c r="D17" s="100"/>
      <c r="E17" s="100"/>
      <c r="F17" s="100"/>
      <c r="G17" s="100"/>
      <c r="H17" s="100"/>
      <c r="I17" s="100"/>
      <c r="J17" s="106"/>
    </row>
    <row r="18" spans="2:10" x14ac:dyDescent="0.25">
      <c r="B18" s="104"/>
      <c r="C18" s="100"/>
      <c r="D18" s="100"/>
      <c r="E18" s="100"/>
      <c r="F18" s="100"/>
      <c r="G18" s="100"/>
      <c r="H18" s="100"/>
      <c r="I18" s="100"/>
      <c r="J18" s="106"/>
    </row>
    <row r="19" spans="2:10" x14ac:dyDescent="0.25">
      <c r="B19" s="104"/>
      <c r="C19" s="100"/>
      <c r="D19" s="100"/>
      <c r="E19" s="100"/>
      <c r="F19" s="100"/>
      <c r="G19" s="100"/>
      <c r="H19" s="100"/>
      <c r="I19" s="100"/>
      <c r="J19" s="106"/>
    </row>
    <row r="20" spans="2:10" x14ac:dyDescent="0.25">
      <c r="B20" s="104"/>
      <c r="C20" s="100"/>
      <c r="D20" s="100"/>
      <c r="E20" s="100"/>
      <c r="F20" s="100"/>
      <c r="G20" s="100"/>
      <c r="H20" s="100"/>
      <c r="I20" s="100"/>
      <c r="J20" s="106"/>
    </row>
    <row r="21" spans="2:10" x14ac:dyDescent="0.25">
      <c r="B21" s="104"/>
      <c r="C21" s="100"/>
      <c r="D21" s="100"/>
      <c r="E21" s="100"/>
      <c r="F21" s="100"/>
      <c r="G21" s="100"/>
      <c r="H21" s="100"/>
      <c r="I21" s="100"/>
      <c r="J21" s="106"/>
    </row>
    <row r="22" spans="2:10" x14ac:dyDescent="0.25">
      <c r="B22" s="104"/>
      <c r="C22" s="100"/>
      <c r="D22" s="100"/>
      <c r="E22" s="100"/>
      <c r="F22" s="100"/>
      <c r="G22" s="100"/>
      <c r="H22" s="100"/>
      <c r="I22" s="100"/>
      <c r="J22" s="106"/>
    </row>
    <row r="23" spans="2:10" x14ac:dyDescent="0.25">
      <c r="B23" s="104"/>
      <c r="C23" s="100"/>
      <c r="D23" s="100"/>
      <c r="E23" s="100"/>
      <c r="F23" s="100"/>
      <c r="G23" s="100"/>
      <c r="H23" s="100"/>
      <c r="I23" s="100"/>
      <c r="J23" s="106"/>
    </row>
    <row r="24" spans="2:10" ht="6.75" customHeight="1" x14ac:dyDescent="0.25">
      <c r="B24" s="105"/>
      <c r="C24" s="108"/>
      <c r="D24" s="108"/>
      <c r="E24" s="108"/>
      <c r="F24" s="108"/>
      <c r="G24" s="108"/>
      <c r="H24" s="108"/>
      <c r="I24" s="108"/>
      <c r="J24" s="107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9" t="s">
        <v>41</v>
      </c>
      <c r="C26" s="99"/>
      <c r="D26" s="99"/>
      <c r="E26" s="99"/>
      <c r="F26" s="99"/>
      <c r="G26" s="99"/>
      <c r="H26" s="99"/>
      <c r="I26" s="99"/>
      <c r="J26" s="99"/>
    </row>
    <row r="27" spans="2:10" ht="6.75" customHeight="1" x14ac:dyDescent="0.25">
      <c r="B27" s="101"/>
      <c r="C27" s="102"/>
      <c r="D27" s="102"/>
      <c r="E27" s="102"/>
      <c r="F27" s="102"/>
      <c r="G27" s="102"/>
      <c r="H27" s="102"/>
      <c r="I27" s="102"/>
      <c r="J27" s="103"/>
    </row>
    <row r="28" spans="2:10" x14ac:dyDescent="0.25">
      <c r="B28" s="104"/>
      <c r="C28" s="100"/>
      <c r="D28" s="100"/>
      <c r="E28" s="100"/>
      <c r="F28" s="100"/>
      <c r="G28" s="100"/>
      <c r="H28" s="100"/>
      <c r="I28" s="100"/>
      <c r="J28" s="106"/>
    </row>
    <row r="29" spans="2:10" x14ac:dyDescent="0.25">
      <c r="B29" s="104"/>
      <c r="C29" s="100"/>
      <c r="D29" s="100"/>
      <c r="E29" s="100"/>
      <c r="F29" s="100"/>
      <c r="G29" s="100"/>
      <c r="H29" s="100"/>
      <c r="I29" s="100"/>
      <c r="J29" s="106"/>
    </row>
    <row r="30" spans="2:10" x14ac:dyDescent="0.25">
      <c r="B30" s="104"/>
      <c r="C30" s="100"/>
      <c r="D30" s="100"/>
      <c r="E30" s="100"/>
      <c r="F30" s="100"/>
      <c r="G30" s="100"/>
      <c r="H30" s="100"/>
      <c r="I30" s="100"/>
      <c r="J30" s="106"/>
    </row>
    <row r="31" spans="2:10" x14ac:dyDescent="0.25">
      <c r="B31" s="104"/>
      <c r="C31" s="100"/>
      <c r="D31" s="100"/>
      <c r="E31" s="100"/>
      <c r="F31" s="100"/>
      <c r="G31" s="100"/>
      <c r="H31" s="100"/>
      <c r="I31" s="100"/>
      <c r="J31" s="106"/>
    </row>
    <row r="32" spans="2:10" x14ac:dyDescent="0.25">
      <c r="B32" s="104"/>
      <c r="C32" s="100"/>
      <c r="D32" s="100"/>
      <c r="E32" s="100"/>
      <c r="F32" s="100"/>
      <c r="G32" s="100"/>
      <c r="H32" s="100"/>
      <c r="I32" s="100"/>
      <c r="J32" s="106"/>
    </row>
    <row r="33" spans="2:10" x14ac:dyDescent="0.25">
      <c r="B33" s="104"/>
      <c r="C33" s="100"/>
      <c r="D33" s="100"/>
      <c r="E33" s="100"/>
      <c r="F33" s="100"/>
      <c r="G33" s="100"/>
      <c r="H33" s="100"/>
      <c r="I33" s="100"/>
      <c r="J33" s="106"/>
    </row>
    <row r="34" spans="2:10" x14ac:dyDescent="0.25">
      <c r="B34" s="104"/>
      <c r="C34" s="100"/>
      <c r="D34" s="100"/>
      <c r="E34" s="100"/>
      <c r="F34" s="100"/>
      <c r="G34" s="100"/>
      <c r="H34" s="100"/>
      <c r="I34" s="100"/>
      <c r="J34" s="106"/>
    </row>
    <row r="35" spans="2:10" x14ac:dyDescent="0.25">
      <c r="B35" s="104"/>
      <c r="C35" s="100"/>
      <c r="D35" s="100"/>
      <c r="E35" s="100"/>
      <c r="F35" s="100"/>
      <c r="G35" s="100"/>
      <c r="H35" s="100"/>
      <c r="I35" s="100"/>
      <c r="J35" s="106"/>
    </row>
    <row r="36" spans="2:10" x14ac:dyDescent="0.25">
      <c r="B36" s="104"/>
      <c r="C36" s="100"/>
      <c r="D36" s="100"/>
      <c r="E36" s="100"/>
      <c r="F36" s="100"/>
      <c r="G36" s="100"/>
      <c r="H36" s="100"/>
      <c r="I36" s="100"/>
      <c r="J36" s="106"/>
    </row>
    <row r="37" spans="2:10" x14ac:dyDescent="0.25">
      <c r="B37" s="104"/>
      <c r="C37" s="100"/>
      <c r="D37" s="100"/>
      <c r="E37" s="100"/>
      <c r="F37" s="100"/>
      <c r="G37" s="100"/>
      <c r="H37" s="100"/>
      <c r="I37" s="100"/>
      <c r="J37" s="106"/>
    </row>
    <row r="38" spans="2:10" x14ac:dyDescent="0.25">
      <c r="B38" s="104"/>
      <c r="C38" s="100"/>
      <c r="D38" s="100"/>
      <c r="E38" s="100"/>
      <c r="F38" s="100"/>
      <c r="G38" s="100"/>
      <c r="H38" s="100"/>
      <c r="I38" s="100"/>
      <c r="J38" s="106"/>
    </row>
    <row r="39" spans="2:10" x14ac:dyDescent="0.25">
      <c r="B39" s="104"/>
      <c r="C39" s="100"/>
      <c r="D39" s="100"/>
      <c r="E39" s="100"/>
      <c r="F39" s="100"/>
      <c r="G39" s="100"/>
      <c r="H39" s="100"/>
      <c r="I39" s="100"/>
      <c r="J39" s="106"/>
    </row>
    <row r="40" spans="2:10" x14ac:dyDescent="0.25">
      <c r="B40" s="104"/>
      <c r="C40" s="100"/>
      <c r="D40" s="100"/>
      <c r="E40" s="100"/>
      <c r="F40" s="100"/>
      <c r="G40" s="100"/>
      <c r="H40" s="100"/>
      <c r="I40" s="100"/>
      <c r="J40" s="106"/>
    </row>
    <row r="41" spans="2:10" x14ac:dyDescent="0.25">
      <c r="B41" s="104"/>
      <c r="C41" s="100"/>
      <c r="D41" s="100"/>
      <c r="E41" s="100"/>
      <c r="F41" s="100"/>
      <c r="G41" s="100"/>
      <c r="H41" s="100"/>
      <c r="I41" s="100"/>
      <c r="J41" s="106"/>
    </row>
    <row r="42" spans="2:10" x14ac:dyDescent="0.25">
      <c r="B42" s="104"/>
      <c r="C42" s="100"/>
      <c r="D42" s="100"/>
      <c r="E42" s="100"/>
      <c r="F42" s="100"/>
      <c r="G42" s="100"/>
      <c r="H42" s="100"/>
      <c r="I42" s="100"/>
      <c r="J42" s="106"/>
    </row>
    <row r="43" spans="2:10" x14ac:dyDescent="0.25">
      <c r="B43" s="104"/>
      <c r="C43" s="100"/>
      <c r="D43" s="100"/>
      <c r="E43" s="100"/>
      <c r="F43" s="100"/>
      <c r="G43" s="100"/>
      <c r="H43" s="100"/>
      <c r="I43" s="100"/>
      <c r="J43" s="106"/>
    </row>
    <row r="44" spans="2:10" x14ac:dyDescent="0.25">
      <c r="B44" s="104"/>
      <c r="C44" s="100"/>
      <c r="D44" s="100"/>
      <c r="E44" s="100"/>
      <c r="F44" s="100"/>
      <c r="G44" s="100"/>
      <c r="H44" s="100"/>
      <c r="I44" s="100"/>
      <c r="J44" s="106"/>
    </row>
    <row r="45" spans="2:10" x14ac:dyDescent="0.25">
      <c r="B45" s="104"/>
      <c r="C45" s="100"/>
      <c r="D45" s="100"/>
      <c r="E45" s="100"/>
      <c r="F45" s="100"/>
      <c r="G45" s="100"/>
      <c r="H45" s="100"/>
      <c r="I45" s="100"/>
      <c r="J45" s="106"/>
    </row>
    <row r="46" spans="2:10" x14ac:dyDescent="0.25">
      <c r="B46" s="104"/>
      <c r="C46" s="100"/>
      <c r="D46" s="100"/>
      <c r="E46" s="100"/>
      <c r="F46" s="100"/>
      <c r="G46" s="100"/>
      <c r="H46" s="100"/>
      <c r="I46" s="100"/>
      <c r="J46" s="106"/>
    </row>
    <row r="47" spans="2:10" x14ac:dyDescent="0.25">
      <c r="B47" s="104"/>
      <c r="C47" s="100"/>
      <c r="D47" s="100"/>
      <c r="E47" s="100"/>
      <c r="F47" s="100"/>
      <c r="G47" s="100"/>
      <c r="H47" s="100"/>
      <c r="I47" s="100"/>
      <c r="J47" s="106"/>
    </row>
    <row r="48" spans="2:10" ht="6.75" customHeight="1" x14ac:dyDescent="0.25">
      <c r="B48" s="105"/>
      <c r="C48" s="108"/>
      <c r="D48" s="108"/>
      <c r="E48" s="108"/>
      <c r="F48" s="108"/>
      <c r="G48" s="108"/>
      <c r="H48" s="108"/>
      <c r="I48" s="108"/>
      <c r="J48" s="107"/>
    </row>
  </sheetData>
  <mergeCells count="12">
    <mergeCell ref="B26:J26"/>
    <mergeCell ref="B27:J27"/>
    <mergeCell ref="B28:B48"/>
    <mergeCell ref="C28:I47"/>
    <mergeCell ref="J28:J48"/>
    <mergeCell ref="C48:I48"/>
    <mergeCell ref="B2:J2"/>
    <mergeCell ref="C4:I23"/>
    <mergeCell ref="B3:J3"/>
    <mergeCell ref="B4:B24"/>
    <mergeCell ref="J4:J24"/>
    <mergeCell ref="C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8"/>
  <sheetViews>
    <sheetView tabSelected="1"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120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6.2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8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9">
        <v>43045</v>
      </c>
      <c r="D5" s="300"/>
      <c r="E5" s="22" t="s">
        <v>1</v>
      </c>
      <c r="F5" s="23">
        <v>1</v>
      </c>
      <c r="G5" s="24" t="s">
        <v>2</v>
      </c>
      <c r="H5" s="301" t="s">
        <v>121</v>
      </c>
      <c r="I5" s="302"/>
      <c r="J5" s="302"/>
      <c r="K5" s="302"/>
      <c r="L5" s="302"/>
      <c r="M5" s="302"/>
      <c r="N5" s="302"/>
      <c r="O5" s="302"/>
      <c r="P5" s="303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2" t="s">
        <v>3</v>
      </c>
      <c r="C6" s="283"/>
      <c r="D6" s="284" t="s">
        <v>109</v>
      </c>
      <c r="E6" s="285"/>
      <c r="F6" s="285"/>
      <c r="G6" s="285"/>
      <c r="H6" s="285"/>
      <c r="I6" s="286"/>
      <c r="J6" s="28" t="s">
        <v>4</v>
      </c>
      <c r="K6" s="287" t="s">
        <v>110</v>
      </c>
      <c r="L6" s="286"/>
      <c r="M6" s="287" t="s">
        <v>111</v>
      </c>
      <c r="N6" s="288"/>
      <c r="O6" s="29" t="s">
        <v>54</v>
      </c>
      <c r="P6" s="30">
        <v>1942</v>
      </c>
    </row>
    <row r="7" spans="1:26" s="26" customFormat="1" ht="21.75" customHeight="1" x14ac:dyDescent="0.25">
      <c r="B7" s="289" t="s">
        <v>55</v>
      </c>
      <c r="C7" s="290" t="s">
        <v>56</v>
      </c>
      <c r="D7" s="260"/>
      <c r="E7" s="32"/>
      <c r="F7" s="291" t="s">
        <v>57</v>
      </c>
      <c r="G7" s="292"/>
      <c r="H7" s="292"/>
      <c r="I7" s="292"/>
      <c r="J7" s="293" t="s">
        <v>58</v>
      </c>
      <c r="K7" s="294"/>
      <c r="L7" s="294"/>
      <c r="M7" s="295"/>
      <c r="N7" s="296" t="s">
        <v>59</v>
      </c>
      <c r="O7" s="297"/>
      <c r="P7" s="33" t="s">
        <v>60</v>
      </c>
    </row>
    <row r="8" spans="1:26" s="26" customFormat="1" ht="21.75" customHeight="1" thickBot="1" x14ac:dyDescent="0.3">
      <c r="B8" s="234"/>
      <c r="C8" s="251" t="s">
        <v>61</v>
      </c>
      <c r="D8" s="250"/>
      <c r="E8" s="34" t="s">
        <v>5</v>
      </c>
      <c r="F8" s="261" t="s">
        <v>6</v>
      </c>
      <c r="G8" s="262"/>
      <c r="H8" s="262"/>
      <c r="I8" s="262"/>
      <c r="J8" s="263"/>
      <c r="K8" s="264"/>
      <c r="L8" s="264"/>
      <c r="M8" s="265"/>
      <c r="N8" s="266"/>
      <c r="O8" s="267"/>
      <c r="P8" s="35"/>
    </row>
    <row r="9" spans="1:26" s="26" customFormat="1" ht="21.75" customHeight="1" x14ac:dyDescent="0.25">
      <c r="B9" s="268" t="s">
        <v>7</v>
      </c>
      <c r="C9" s="271" t="s">
        <v>62</v>
      </c>
      <c r="D9" s="272" t="s">
        <v>63</v>
      </c>
      <c r="E9" s="257"/>
      <c r="F9" s="36"/>
      <c r="G9" s="273" t="s">
        <v>8</v>
      </c>
      <c r="H9" s="274" t="s">
        <v>9</v>
      </c>
      <c r="I9" s="260"/>
      <c r="J9" s="37" t="s">
        <v>5</v>
      </c>
      <c r="K9" s="271" t="s">
        <v>64</v>
      </c>
      <c r="L9" s="275" t="s">
        <v>107</v>
      </c>
      <c r="M9" s="276"/>
      <c r="N9" s="277"/>
      <c r="O9" s="277"/>
      <c r="P9" s="278"/>
    </row>
    <row r="10" spans="1:26" s="26" customFormat="1" ht="21.75" customHeight="1" thickBot="1" x14ac:dyDescent="0.3">
      <c r="B10" s="269"/>
      <c r="C10" s="214"/>
      <c r="D10" s="255" t="s">
        <v>65</v>
      </c>
      <c r="E10" s="250"/>
      <c r="F10" s="38" t="s">
        <v>5</v>
      </c>
      <c r="G10" s="214"/>
      <c r="H10" s="255" t="s">
        <v>10</v>
      </c>
      <c r="I10" s="250"/>
      <c r="J10" s="39"/>
      <c r="K10" s="214"/>
      <c r="L10" s="279"/>
      <c r="M10" s="280"/>
      <c r="N10" s="280"/>
      <c r="O10" s="280"/>
      <c r="P10" s="281"/>
    </row>
    <row r="11" spans="1:26" s="26" customFormat="1" ht="21.75" customHeight="1" x14ac:dyDescent="0.25">
      <c r="A11" s="20"/>
      <c r="B11" s="269"/>
      <c r="C11" s="256" t="s">
        <v>11</v>
      </c>
      <c r="D11" s="257"/>
      <c r="E11" s="40">
        <v>0.30555555555555552</v>
      </c>
      <c r="F11" s="258" t="s">
        <v>12</v>
      </c>
      <c r="G11" s="257"/>
      <c r="H11" s="41">
        <v>1.39</v>
      </c>
      <c r="I11" s="259" t="s">
        <v>13</v>
      </c>
      <c r="J11" s="260"/>
      <c r="K11" s="41">
        <v>18</v>
      </c>
      <c r="L11" s="256" t="s">
        <v>14</v>
      </c>
      <c r="M11" s="257"/>
      <c r="N11" s="42">
        <v>3.91</v>
      </c>
      <c r="O11" s="247" t="s">
        <v>66</v>
      </c>
      <c r="P11" s="248"/>
    </row>
    <row r="12" spans="1:26" s="26" customFormat="1" ht="21.75" customHeight="1" thickBot="1" x14ac:dyDescent="0.3">
      <c r="A12" s="20"/>
      <c r="B12" s="270"/>
      <c r="C12" s="249" t="s">
        <v>15</v>
      </c>
      <c r="D12" s="250"/>
      <c r="E12" s="40">
        <v>0.39027777777777778</v>
      </c>
      <c r="F12" s="251" t="s">
        <v>16</v>
      </c>
      <c r="G12" s="250"/>
      <c r="H12" s="41">
        <v>1.39</v>
      </c>
      <c r="I12" s="252" t="s">
        <v>17</v>
      </c>
      <c r="J12" s="250"/>
      <c r="K12" s="40">
        <v>0.3659722222222222</v>
      </c>
      <c r="L12" s="249" t="s">
        <v>18</v>
      </c>
      <c r="M12" s="250"/>
      <c r="N12" s="43">
        <v>0.55000000000000004</v>
      </c>
      <c r="O12" s="253">
        <v>0.06</v>
      </c>
      <c r="P12" s="254"/>
    </row>
    <row r="13" spans="1:26" s="26" customFormat="1" ht="21.75" customHeight="1" x14ac:dyDescent="0.25">
      <c r="A13" s="20"/>
      <c r="B13" s="232" t="s">
        <v>19</v>
      </c>
      <c r="C13" s="235" t="s">
        <v>67</v>
      </c>
      <c r="D13" s="236"/>
      <c r="E13" s="236"/>
      <c r="F13" s="237" t="s">
        <v>68</v>
      </c>
      <c r="G13" s="236"/>
      <c r="H13" s="236"/>
      <c r="I13" s="236"/>
      <c r="J13" s="237" t="s">
        <v>69</v>
      </c>
      <c r="K13" s="236"/>
      <c r="L13" s="236"/>
      <c r="M13" s="236"/>
      <c r="N13" s="238" t="s">
        <v>70</v>
      </c>
      <c r="O13" s="236"/>
      <c r="P13" s="239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3"/>
      <c r="C14" s="240" t="s">
        <v>71</v>
      </c>
      <c r="D14" s="241"/>
      <c r="E14" s="241"/>
      <c r="F14" s="242" t="s">
        <v>72</v>
      </c>
      <c r="G14" s="241"/>
      <c r="H14" s="241"/>
      <c r="I14" s="241"/>
      <c r="J14" s="243" t="s">
        <v>73</v>
      </c>
      <c r="K14" s="241"/>
      <c r="L14" s="241"/>
      <c r="M14" s="241"/>
      <c r="N14" s="244"/>
      <c r="O14" s="229"/>
      <c r="P14" s="24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4"/>
      <c r="C15" s="246" t="s">
        <v>74</v>
      </c>
      <c r="D15" s="216"/>
      <c r="E15" s="216"/>
      <c r="F15" s="216" t="s">
        <v>75</v>
      </c>
      <c r="G15" s="217"/>
      <c r="H15" s="217"/>
      <c r="I15" s="217"/>
      <c r="J15" s="216" t="s">
        <v>76</v>
      </c>
      <c r="K15" s="217"/>
      <c r="L15" s="217"/>
      <c r="M15" s="217"/>
      <c r="N15" s="218"/>
      <c r="O15" s="219"/>
      <c r="P15" s="220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1" t="s">
        <v>20</v>
      </c>
      <c r="C16" s="223" t="s">
        <v>21</v>
      </c>
      <c r="D16" s="223" t="s">
        <v>42</v>
      </c>
      <c r="E16" s="225" t="s">
        <v>22</v>
      </c>
      <c r="F16" s="226" t="s">
        <v>43</v>
      </c>
      <c r="G16" s="227"/>
      <c r="H16" s="223" t="s">
        <v>77</v>
      </c>
      <c r="I16" s="230" t="s">
        <v>78</v>
      </c>
      <c r="J16" s="94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2"/>
      <c r="C17" s="224"/>
      <c r="D17" s="224"/>
      <c r="E17" s="224"/>
      <c r="F17" s="228"/>
      <c r="G17" s="229"/>
      <c r="H17" s="224"/>
      <c r="I17" s="231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0.06</v>
      </c>
      <c r="D18" s="54">
        <v>8.1000000000000003E-2</v>
      </c>
      <c r="E18" s="55"/>
      <c r="F18" s="56"/>
      <c r="G18" s="97"/>
      <c r="H18" s="57"/>
      <c r="I18" s="58"/>
      <c r="J18" s="96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2">
        <v>1</v>
      </c>
      <c r="C19" s="215">
        <f>+C18+$N$12</f>
        <v>0.6100000000000001</v>
      </c>
      <c r="D19" s="192">
        <v>0.17499999999999999</v>
      </c>
      <c r="E19" s="192">
        <v>0.185</v>
      </c>
      <c r="F19" s="61" t="s">
        <v>79</v>
      </c>
      <c r="G19" s="62">
        <v>0</v>
      </c>
      <c r="H19" s="63"/>
      <c r="I19" s="64"/>
      <c r="J19" s="65">
        <v>0.48299999999999998</v>
      </c>
      <c r="K19" s="192">
        <f>+IF(E19&lt;=0.12,(J21),(IF(E19&lt;0.16,((J20+2*J21+J22)/4),IF(E19&gt;=0.16,((J19+3*J20+2*J21+3*J22+J23)/10)))))</f>
        <v>0.5302</v>
      </c>
      <c r="L19" s="192">
        <f>ROUND(+(D18+D19)/2*(C19-C18),3)</f>
        <v>7.0000000000000007E-2</v>
      </c>
      <c r="M19" s="192">
        <f>ROUND(+K19*L19,4)</f>
        <v>3.7100000000000001E-2</v>
      </c>
      <c r="N19" s="195">
        <f>ROUND(+M19/$M$73*100,2)</f>
        <v>16.57</v>
      </c>
      <c r="O19" s="196"/>
      <c r="P19" s="197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3"/>
      <c r="C20" s="193"/>
      <c r="D20" s="193"/>
      <c r="E20" s="193"/>
      <c r="F20" s="66" t="s">
        <v>80</v>
      </c>
      <c r="G20" s="67">
        <f>IF(E19&lt;0.125,"NA",IF(0.125&lt;=E19,(0.2*E19)))</f>
        <v>3.6999999999999998E-2</v>
      </c>
      <c r="H20" s="68"/>
      <c r="I20" s="69"/>
      <c r="J20" s="70">
        <v>0.52900000000000003</v>
      </c>
      <c r="K20" s="193"/>
      <c r="L20" s="193"/>
      <c r="M20" s="193"/>
      <c r="N20" s="193"/>
      <c r="O20" s="193"/>
      <c r="P20" s="198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3"/>
      <c r="C21" s="193"/>
      <c r="D21" s="193"/>
      <c r="E21" s="193"/>
      <c r="F21" s="66" t="s">
        <v>81</v>
      </c>
      <c r="G21" s="67">
        <f>+E19*0.4</f>
        <v>7.3999999999999996E-2</v>
      </c>
      <c r="H21" s="68"/>
      <c r="I21" s="69"/>
      <c r="J21" s="70">
        <v>0.65300000000000002</v>
      </c>
      <c r="K21" s="193"/>
      <c r="L21" s="193"/>
      <c r="M21" s="193"/>
      <c r="N21" s="193"/>
      <c r="O21" s="193"/>
      <c r="P21" s="198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3"/>
      <c r="C22" s="193"/>
      <c r="D22" s="193"/>
      <c r="E22" s="193"/>
      <c r="F22" s="66" t="s">
        <v>82</v>
      </c>
      <c r="G22" s="67">
        <f>IF(E19&lt;0.125,"NA",IF(0.125&lt;=E19,(0.8*E19)))</f>
        <v>0.14799999999999999</v>
      </c>
      <c r="H22" s="68"/>
      <c r="I22" s="69"/>
      <c r="J22" s="70">
        <v>0.64200000000000002</v>
      </c>
      <c r="K22" s="193"/>
      <c r="L22" s="193"/>
      <c r="M22" s="193"/>
      <c r="N22" s="193"/>
      <c r="O22" s="193"/>
      <c r="P22" s="198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4"/>
      <c r="C23" s="194"/>
      <c r="D23" s="194"/>
      <c r="E23" s="194"/>
      <c r="F23" s="71" t="s">
        <v>83</v>
      </c>
      <c r="G23" s="72">
        <f>+E19</f>
        <v>0.185</v>
      </c>
      <c r="H23" s="73"/>
      <c r="I23" s="74"/>
      <c r="J23" s="75"/>
      <c r="K23" s="194"/>
      <c r="L23" s="194"/>
      <c r="M23" s="194"/>
      <c r="N23" s="194"/>
      <c r="O23" s="194"/>
      <c r="P23" s="199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2">
        <v>2</v>
      </c>
      <c r="C24" s="215">
        <f>+C19+$N$12</f>
        <v>1.1600000000000001</v>
      </c>
      <c r="D24" s="192">
        <v>0.19800000000000001</v>
      </c>
      <c r="E24" s="192">
        <v>0.185</v>
      </c>
      <c r="F24" s="61" t="s">
        <v>79</v>
      </c>
      <c r="G24" s="62">
        <v>0</v>
      </c>
      <c r="H24" s="63"/>
      <c r="I24" s="64"/>
      <c r="J24" s="65">
        <v>0.441</v>
      </c>
      <c r="K24" s="192">
        <f>+IF(E24&lt;=0.12,(J26),(IF(E24&lt;0.16,((J25+2*J26+J27)/4),IF(E24&gt;=0.16,((J24+3*J25+2*J26+3*J27+J28)/10)))))</f>
        <v>0.50419999999999998</v>
      </c>
      <c r="L24" s="192">
        <f>ROUND(+(D19+D24)/2*(C24-C19),3)</f>
        <v>0.10299999999999999</v>
      </c>
      <c r="M24" s="192">
        <f>ROUND(+K24*L24,4)</f>
        <v>5.1900000000000002E-2</v>
      </c>
      <c r="N24" s="195">
        <f>ROUND(+M24/$M$73*100,2)</f>
        <v>23.18</v>
      </c>
      <c r="O24" s="196"/>
      <c r="P24" s="197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3"/>
      <c r="C25" s="193"/>
      <c r="D25" s="193"/>
      <c r="E25" s="193"/>
      <c r="F25" s="66" t="s">
        <v>80</v>
      </c>
      <c r="G25" s="67">
        <f t="shared" ref="G25" si="0">IF(E24&lt;0.125,"NA",IF(0.125&lt;=E24,(0.2*E24)))</f>
        <v>3.6999999999999998E-2</v>
      </c>
      <c r="H25" s="68"/>
      <c r="I25" s="69"/>
      <c r="J25" s="70">
        <v>0.45800000000000002</v>
      </c>
      <c r="K25" s="193"/>
      <c r="L25" s="193"/>
      <c r="M25" s="193"/>
      <c r="N25" s="193"/>
      <c r="O25" s="193"/>
      <c r="P25" s="198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3"/>
      <c r="C26" s="193"/>
      <c r="D26" s="193"/>
      <c r="E26" s="193"/>
      <c r="F26" s="66" t="s">
        <v>81</v>
      </c>
      <c r="G26" s="67">
        <f t="shared" ref="G26" si="1">+E24*0.4</f>
        <v>7.3999999999999996E-2</v>
      </c>
      <c r="H26" s="68"/>
      <c r="I26" s="69"/>
      <c r="J26" s="70">
        <v>0.52700000000000002</v>
      </c>
      <c r="K26" s="193"/>
      <c r="L26" s="193"/>
      <c r="M26" s="193"/>
      <c r="N26" s="193"/>
      <c r="O26" s="193"/>
      <c r="P26" s="198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3"/>
      <c r="C27" s="193"/>
      <c r="D27" s="193"/>
      <c r="E27" s="193"/>
      <c r="F27" s="66" t="s">
        <v>82</v>
      </c>
      <c r="G27" s="67">
        <f t="shared" ref="G27" si="2">IF(E24&lt;0.125,"NA",IF(0.125&lt;=E24,(0.8*E24)))</f>
        <v>0.14799999999999999</v>
      </c>
      <c r="H27" s="68"/>
      <c r="I27" s="69"/>
      <c r="J27" s="70">
        <v>0.54200000000000004</v>
      </c>
      <c r="K27" s="193"/>
      <c r="L27" s="193"/>
      <c r="M27" s="193"/>
      <c r="N27" s="193"/>
      <c r="O27" s="193"/>
      <c r="P27" s="198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4"/>
      <c r="C28" s="194"/>
      <c r="D28" s="194"/>
      <c r="E28" s="194"/>
      <c r="F28" s="71" t="s">
        <v>83</v>
      </c>
      <c r="G28" s="72">
        <f t="shared" ref="G28" si="3">+E24</f>
        <v>0.185</v>
      </c>
      <c r="H28" s="73"/>
      <c r="I28" s="74"/>
      <c r="J28" s="75">
        <v>0.54700000000000004</v>
      </c>
      <c r="K28" s="194"/>
      <c r="L28" s="194"/>
      <c r="M28" s="194"/>
      <c r="N28" s="194"/>
      <c r="O28" s="194"/>
      <c r="P28" s="199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2">
        <v>3</v>
      </c>
      <c r="C29" s="215">
        <f>+C24+$N$12</f>
        <v>1.7100000000000002</v>
      </c>
      <c r="D29" s="192">
        <v>0.19800000000000001</v>
      </c>
      <c r="E29" s="192">
        <v>0.19800000000000001</v>
      </c>
      <c r="F29" s="61" t="s">
        <v>79</v>
      </c>
      <c r="G29" s="62">
        <v>0</v>
      </c>
      <c r="H29" s="63"/>
      <c r="I29" s="64"/>
      <c r="J29" s="65"/>
      <c r="K29" s="192"/>
      <c r="L29" s="192"/>
      <c r="M29" s="192"/>
      <c r="N29" s="195"/>
      <c r="O29" s="196"/>
      <c r="P29" s="197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3"/>
      <c r="C30" s="193"/>
      <c r="D30" s="193"/>
      <c r="E30" s="193"/>
      <c r="F30" s="66" t="s">
        <v>80</v>
      </c>
      <c r="G30" s="67">
        <f t="shared" ref="G30" si="4">IF(E29&lt;0.125,"NA",IF(0.125&lt;=E29,(0.2*E29)))</f>
        <v>3.9600000000000003E-2</v>
      </c>
      <c r="H30" s="68"/>
      <c r="I30" s="69"/>
      <c r="J30" s="70"/>
      <c r="K30" s="193"/>
      <c r="L30" s="193"/>
      <c r="M30" s="193"/>
      <c r="N30" s="193"/>
      <c r="O30" s="193"/>
      <c r="P30" s="198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3"/>
      <c r="C31" s="193"/>
      <c r="D31" s="193"/>
      <c r="E31" s="193"/>
      <c r="F31" s="66" t="s">
        <v>81</v>
      </c>
      <c r="G31" s="67">
        <f t="shared" ref="G31" si="5">+E29*0.4</f>
        <v>7.9200000000000007E-2</v>
      </c>
      <c r="H31" s="68"/>
      <c r="I31" s="69"/>
      <c r="J31" s="70"/>
      <c r="K31" s="193"/>
      <c r="L31" s="193"/>
      <c r="M31" s="193"/>
      <c r="N31" s="193"/>
      <c r="O31" s="193"/>
      <c r="P31" s="198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3"/>
      <c r="C32" s="193"/>
      <c r="D32" s="193"/>
      <c r="E32" s="193"/>
      <c r="F32" s="66" t="s">
        <v>82</v>
      </c>
      <c r="G32" s="67">
        <f t="shared" ref="G32" si="6">IF(E29&lt;0.125,"NA",IF(0.125&lt;=E29,(0.8*E29)))</f>
        <v>0.15840000000000001</v>
      </c>
      <c r="H32" s="68"/>
      <c r="I32" s="69"/>
      <c r="J32" s="70"/>
      <c r="K32" s="193"/>
      <c r="L32" s="193"/>
      <c r="M32" s="193"/>
      <c r="N32" s="193"/>
      <c r="O32" s="193"/>
      <c r="P32" s="198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4"/>
      <c r="C33" s="194"/>
      <c r="D33" s="194"/>
      <c r="E33" s="194"/>
      <c r="F33" s="71" t="s">
        <v>83</v>
      </c>
      <c r="G33" s="72">
        <f t="shared" ref="G33" si="7">+E29</f>
        <v>0.19800000000000001</v>
      </c>
      <c r="H33" s="73"/>
      <c r="I33" s="74"/>
      <c r="J33" s="75"/>
      <c r="K33" s="194"/>
      <c r="L33" s="194"/>
      <c r="M33" s="194"/>
      <c r="N33" s="194"/>
      <c r="O33" s="194"/>
      <c r="P33" s="199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2">
        <v>4</v>
      </c>
      <c r="C34" s="215">
        <f>+C29+$N$12</f>
        <v>2.2600000000000002</v>
      </c>
      <c r="D34" s="192">
        <v>0.19800000000000001</v>
      </c>
      <c r="E34" s="192">
        <v>0.19800000000000001</v>
      </c>
      <c r="F34" s="61" t="s">
        <v>79</v>
      </c>
      <c r="G34" s="62">
        <v>0</v>
      </c>
      <c r="H34" s="63"/>
      <c r="I34" s="64"/>
      <c r="J34" s="65">
        <v>0.30399999999999999</v>
      </c>
      <c r="K34" s="192">
        <f>+IF(E34&lt;=0.12,(J36),(IF(E34&lt;0.16,((J35+2*J36+J37)/4),IF(E34&gt;=0.16,((J34+3*J35+2*J36+3*J37+J38)/10)))))</f>
        <v>0.39340000000000003</v>
      </c>
      <c r="L34" s="192">
        <f>ROUND(+(D29+D34)/2*(C34-C29),3)</f>
        <v>0.109</v>
      </c>
      <c r="M34" s="192">
        <f>ROUND(+K34*L34,4)</f>
        <v>4.2900000000000001E-2</v>
      </c>
      <c r="N34" s="195">
        <f t="shared" ref="N34" si="8">ROUND(+M34/$M$73*100,2)</f>
        <v>19.16</v>
      </c>
      <c r="O34" s="196"/>
      <c r="P34" s="197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3"/>
      <c r="C35" s="193"/>
      <c r="D35" s="193"/>
      <c r="E35" s="193"/>
      <c r="F35" s="66" t="s">
        <v>80</v>
      </c>
      <c r="G35" s="67">
        <f t="shared" ref="G35" si="9">IF(E34&lt;0.125,"NA",IF(0.125&lt;=E34,(0.2*E34)))</f>
        <v>3.9600000000000003E-2</v>
      </c>
      <c r="H35" s="68"/>
      <c r="I35" s="69"/>
      <c r="J35" s="70">
        <v>0.376</v>
      </c>
      <c r="K35" s="193"/>
      <c r="L35" s="193"/>
      <c r="M35" s="193"/>
      <c r="N35" s="193"/>
      <c r="O35" s="193"/>
      <c r="P35" s="198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3"/>
      <c r="C36" s="193"/>
      <c r="D36" s="193"/>
      <c r="E36" s="193"/>
      <c r="F36" s="66" t="s">
        <v>81</v>
      </c>
      <c r="G36" s="67">
        <f t="shared" ref="G36" si="10">+E34*0.4</f>
        <v>7.9200000000000007E-2</v>
      </c>
      <c r="H36" s="68"/>
      <c r="I36" s="69"/>
      <c r="J36" s="70">
        <v>0.442</v>
      </c>
      <c r="K36" s="193"/>
      <c r="L36" s="193"/>
      <c r="M36" s="193"/>
      <c r="N36" s="193"/>
      <c r="O36" s="193"/>
      <c r="P36" s="198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3"/>
      <c r="C37" s="193"/>
      <c r="D37" s="193"/>
      <c r="E37" s="193"/>
      <c r="F37" s="66" t="s">
        <v>82</v>
      </c>
      <c r="G37" s="67">
        <f t="shared" ref="G37" si="11">IF(E34&lt;0.125,"NA",IF(0.125&lt;=E34,(0.8*E34)))</f>
        <v>0.15840000000000001</v>
      </c>
      <c r="H37" s="68"/>
      <c r="I37" s="69"/>
      <c r="J37" s="70">
        <v>0.41</v>
      </c>
      <c r="K37" s="193"/>
      <c r="L37" s="193"/>
      <c r="M37" s="193"/>
      <c r="N37" s="193"/>
      <c r="O37" s="193"/>
      <c r="P37" s="198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4"/>
      <c r="C38" s="194"/>
      <c r="D38" s="194"/>
      <c r="E38" s="194"/>
      <c r="F38" s="71" t="s">
        <v>83</v>
      </c>
      <c r="G38" s="72">
        <f t="shared" ref="G38" si="12">+E34</f>
        <v>0.19800000000000001</v>
      </c>
      <c r="H38" s="73"/>
      <c r="I38" s="74"/>
      <c r="J38" s="75">
        <v>0.38800000000000001</v>
      </c>
      <c r="K38" s="194"/>
      <c r="L38" s="194"/>
      <c r="M38" s="194"/>
      <c r="N38" s="194"/>
      <c r="O38" s="194"/>
      <c r="P38" s="199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2">
        <v>5</v>
      </c>
      <c r="C39" s="215">
        <f>+C34+$N$12</f>
        <v>2.8100000000000005</v>
      </c>
      <c r="D39" s="192">
        <v>0.185</v>
      </c>
      <c r="E39" s="192">
        <v>0.192</v>
      </c>
      <c r="F39" s="61" t="s">
        <v>79</v>
      </c>
      <c r="G39" s="62">
        <v>0</v>
      </c>
      <c r="H39" s="63"/>
      <c r="I39" s="64"/>
      <c r="J39" s="65">
        <v>0.16200000000000001</v>
      </c>
      <c r="K39" s="192">
        <f>+IF(E39&lt;=0.12,(J41),(IF(E39&lt;0.16,((J40+2*J41+J42)/4),IF(E39&gt;=0.16,((J39+3*J40+2*J41+3*J42+J43)/10)))))</f>
        <v>0.25359999999999999</v>
      </c>
      <c r="L39" s="192">
        <f>ROUND(+(D34+D39)/2*(C39-C34),3)</f>
        <v>0.105</v>
      </c>
      <c r="M39" s="192">
        <f t="shared" ref="M39" si="13">ROUND(+K39*L39,4)</f>
        <v>2.6599999999999999E-2</v>
      </c>
      <c r="N39" s="195">
        <f t="shared" ref="N39" si="14">ROUND(+M39/$M$73*100,2)</f>
        <v>11.88</v>
      </c>
      <c r="O39" s="196"/>
      <c r="P39" s="197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3"/>
      <c r="C40" s="193"/>
      <c r="D40" s="193"/>
      <c r="E40" s="193"/>
      <c r="F40" s="66" t="s">
        <v>80</v>
      </c>
      <c r="G40" s="67">
        <f t="shared" ref="G40" si="15">IF(E39&lt;0.125,"NA",IF(0.125&lt;=E39,(0.2*E39)))</f>
        <v>3.8400000000000004E-2</v>
      </c>
      <c r="H40" s="68"/>
      <c r="I40" s="69"/>
      <c r="J40" s="70">
        <v>0.222</v>
      </c>
      <c r="K40" s="193"/>
      <c r="L40" s="193"/>
      <c r="M40" s="193"/>
      <c r="N40" s="193"/>
      <c r="O40" s="193"/>
      <c r="P40" s="198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3"/>
      <c r="C41" s="193"/>
      <c r="D41" s="193"/>
      <c r="E41" s="193"/>
      <c r="F41" s="66" t="s">
        <v>81</v>
      </c>
      <c r="G41" s="67">
        <f t="shared" ref="G41" si="16">+E39*0.4</f>
        <v>7.6800000000000007E-2</v>
      </c>
      <c r="H41" s="68"/>
      <c r="I41" s="69"/>
      <c r="J41" s="70">
        <v>0.219</v>
      </c>
      <c r="K41" s="193"/>
      <c r="L41" s="193"/>
      <c r="M41" s="193"/>
      <c r="N41" s="193"/>
      <c r="O41" s="193"/>
      <c r="P41" s="198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3"/>
      <c r="C42" s="193"/>
      <c r="D42" s="193"/>
      <c r="E42" s="193"/>
      <c r="F42" s="66" t="s">
        <v>82</v>
      </c>
      <c r="G42" s="67">
        <f t="shared" ref="G42" si="17">IF(E39&lt;0.125,"NA",IF(0.125&lt;=E39,(0.8*E39)))</f>
        <v>0.15360000000000001</v>
      </c>
      <c r="H42" s="68"/>
      <c r="I42" s="69"/>
      <c r="J42" s="70">
        <v>0.308</v>
      </c>
      <c r="K42" s="193"/>
      <c r="L42" s="193"/>
      <c r="M42" s="193"/>
      <c r="N42" s="193"/>
      <c r="O42" s="193"/>
      <c r="P42" s="198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4"/>
      <c r="C43" s="194"/>
      <c r="D43" s="194"/>
      <c r="E43" s="194"/>
      <c r="F43" s="71" t="s">
        <v>83</v>
      </c>
      <c r="G43" s="72">
        <f t="shared" ref="G43" si="18">+E39</f>
        <v>0.192</v>
      </c>
      <c r="H43" s="73"/>
      <c r="I43" s="74"/>
      <c r="J43" s="75">
        <v>0.34599999999999997</v>
      </c>
      <c r="K43" s="194"/>
      <c r="L43" s="194"/>
      <c r="M43" s="194"/>
      <c r="N43" s="194"/>
      <c r="O43" s="194"/>
      <c r="P43" s="199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2">
        <v>6</v>
      </c>
      <c r="C44" s="215">
        <f>+C39+$N$12</f>
        <v>3.3600000000000003</v>
      </c>
      <c r="D44" s="192">
        <v>0.185</v>
      </c>
      <c r="E44" s="192">
        <v>0.185</v>
      </c>
      <c r="F44" s="61" t="s">
        <v>79</v>
      </c>
      <c r="G44" s="62">
        <v>0</v>
      </c>
      <c r="H44" s="63"/>
      <c r="I44" s="64"/>
      <c r="J44" s="65">
        <v>2E-3</v>
      </c>
      <c r="K44" s="192">
        <f t="shared" ref="K44" si="19">+IF(E44&lt;=0.12,(J46),(IF(E44&lt;0.16,((J45+2*J46+J47)/4),IF(E44&gt;=0.16,((J44+3*J45+2*J46+3*J47+J48)/10)))))</f>
        <v>9.7599999999999992E-2</v>
      </c>
      <c r="L44" s="192">
        <f t="shared" ref="L44" si="20">ROUND(+(D39+D44)/2*(C44-C39),3)</f>
        <v>0.10199999999999999</v>
      </c>
      <c r="M44" s="192">
        <f t="shared" ref="M44" si="21">ROUND(+K44*L44,4)</f>
        <v>0.01</v>
      </c>
      <c r="N44" s="195">
        <f t="shared" ref="N44" si="22">ROUND(+M44/$M$73*100,2)</f>
        <v>4.47</v>
      </c>
      <c r="O44" s="196"/>
      <c r="P44" s="197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3"/>
      <c r="C45" s="193"/>
      <c r="D45" s="193"/>
      <c r="E45" s="193"/>
      <c r="F45" s="66" t="s">
        <v>80</v>
      </c>
      <c r="G45" s="67">
        <f t="shared" ref="G45" si="23">IF(E44&lt;0.125,"NA",IF(0.125&lt;=E44,(0.2*E44)))</f>
        <v>3.6999999999999998E-2</v>
      </c>
      <c r="H45" s="68"/>
      <c r="I45" s="69"/>
      <c r="J45" s="70">
        <v>2.8000000000000001E-2</v>
      </c>
      <c r="K45" s="193"/>
      <c r="L45" s="193"/>
      <c r="M45" s="193"/>
      <c r="N45" s="193"/>
      <c r="O45" s="193"/>
      <c r="P45" s="198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3"/>
      <c r="C46" s="193"/>
      <c r="D46" s="193"/>
      <c r="E46" s="193"/>
      <c r="F46" s="66" t="s">
        <v>81</v>
      </c>
      <c r="G46" s="67">
        <f t="shared" ref="G46" si="24">+E44*0.4</f>
        <v>7.3999999999999996E-2</v>
      </c>
      <c r="H46" s="68"/>
      <c r="I46" s="69"/>
      <c r="J46" s="70">
        <v>6.5000000000000002E-2</v>
      </c>
      <c r="K46" s="193"/>
      <c r="L46" s="193"/>
      <c r="M46" s="193"/>
      <c r="N46" s="193"/>
      <c r="O46" s="193"/>
      <c r="P46" s="198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3"/>
      <c r="C47" s="193"/>
      <c r="D47" s="193"/>
      <c r="E47" s="193"/>
      <c r="F47" s="66" t="s">
        <v>82</v>
      </c>
      <c r="G47" s="67">
        <f t="shared" ref="G47" si="25">IF(E44&lt;0.125,"NA",IF(0.125&lt;=E44,(0.8*E44)))</f>
        <v>0.14799999999999999</v>
      </c>
      <c r="H47" s="68"/>
      <c r="I47" s="69"/>
      <c r="J47" s="70">
        <v>0.22500000000000001</v>
      </c>
      <c r="K47" s="193"/>
      <c r="L47" s="193"/>
      <c r="M47" s="193"/>
      <c r="N47" s="193"/>
      <c r="O47" s="193"/>
      <c r="P47" s="198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4"/>
      <c r="C48" s="194"/>
      <c r="D48" s="194"/>
      <c r="E48" s="194"/>
      <c r="F48" s="71" t="s">
        <v>83</v>
      </c>
      <c r="G48" s="72">
        <f t="shared" ref="G48" si="26">+E44</f>
        <v>0.185</v>
      </c>
      <c r="H48" s="73"/>
      <c r="I48" s="74"/>
      <c r="J48" s="75">
        <v>8.5000000000000006E-2</v>
      </c>
      <c r="K48" s="194"/>
      <c r="L48" s="194"/>
      <c r="M48" s="194"/>
      <c r="N48" s="194"/>
      <c r="O48" s="194"/>
      <c r="P48" s="199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2">
        <v>7</v>
      </c>
      <c r="C49" s="215">
        <f>+C44+0.61</f>
        <v>3.97</v>
      </c>
      <c r="D49" s="192">
        <v>0.185</v>
      </c>
      <c r="E49" s="192">
        <v>0.185</v>
      </c>
      <c r="F49" s="61" t="s">
        <v>79</v>
      </c>
      <c r="G49" s="62">
        <v>0</v>
      </c>
      <c r="H49" s="63"/>
      <c r="I49" s="64"/>
      <c r="J49" s="65">
        <v>1.7000000000000001E-2</v>
      </c>
      <c r="K49" s="192">
        <f t="shared" ref="K49" si="27">+IF(E49&lt;=0.12,(J51),(IF(E49&lt;0.16,((J50+2*J51+J52)/4),IF(E49&gt;=0.16,((J49+3*J50+2*J51+3*J52+J53)/10)))))</f>
        <v>3.56E-2</v>
      </c>
      <c r="L49" s="192">
        <f t="shared" ref="L49" si="28">ROUND(+(D44+D49)/2*(C49-C44),3)</f>
        <v>0.113</v>
      </c>
      <c r="M49" s="192">
        <f t="shared" ref="M49" si="29">ROUND(+K49*L49,4)</f>
        <v>4.0000000000000001E-3</v>
      </c>
      <c r="N49" s="195">
        <f t="shared" ref="N49" si="30">ROUND(+M49/$M$73*100,2)</f>
        <v>1.79</v>
      </c>
      <c r="O49" s="196"/>
      <c r="P49" s="197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3"/>
      <c r="C50" s="193"/>
      <c r="D50" s="193"/>
      <c r="E50" s="193"/>
      <c r="F50" s="66" t="s">
        <v>80</v>
      </c>
      <c r="G50" s="67">
        <f t="shared" ref="G50" si="31">IF(E49&lt;0.125,"NA",IF(0.125&lt;=E49,(0.2*E49)))</f>
        <v>3.6999999999999998E-2</v>
      </c>
      <c r="H50" s="68"/>
      <c r="I50" s="69"/>
      <c r="J50" s="70">
        <v>3.3000000000000002E-2</v>
      </c>
      <c r="K50" s="193"/>
      <c r="L50" s="193"/>
      <c r="M50" s="193"/>
      <c r="N50" s="193"/>
      <c r="O50" s="193"/>
      <c r="P50" s="198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3"/>
      <c r="C51" s="193"/>
      <c r="D51" s="193"/>
      <c r="E51" s="193"/>
      <c r="F51" s="66" t="s">
        <v>81</v>
      </c>
      <c r="G51" s="67">
        <f t="shared" ref="G51" si="32">+E49*0.4</f>
        <v>7.3999999999999996E-2</v>
      </c>
      <c r="H51" s="68"/>
      <c r="I51" s="69"/>
      <c r="J51" s="70">
        <v>4.8000000000000001E-2</v>
      </c>
      <c r="K51" s="193"/>
      <c r="L51" s="193"/>
      <c r="M51" s="193"/>
      <c r="N51" s="193"/>
      <c r="O51" s="193"/>
      <c r="P51" s="198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3"/>
      <c r="C52" s="193"/>
      <c r="D52" s="193"/>
      <c r="E52" s="193"/>
      <c r="F52" s="66" t="s">
        <v>82</v>
      </c>
      <c r="G52" s="67">
        <f t="shared" ref="G52" si="33">IF(E49&lt;0.125,"NA",IF(0.125&lt;=E49,(0.8*E49)))</f>
        <v>0.14799999999999999</v>
      </c>
      <c r="H52" s="68"/>
      <c r="I52" s="69"/>
      <c r="J52" s="70">
        <v>3.5999999999999997E-2</v>
      </c>
      <c r="K52" s="193"/>
      <c r="L52" s="193"/>
      <c r="M52" s="193"/>
      <c r="N52" s="193"/>
      <c r="O52" s="193"/>
      <c r="P52" s="198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4"/>
      <c r="C53" s="194"/>
      <c r="D53" s="194"/>
      <c r="E53" s="194"/>
      <c r="F53" s="71" t="s">
        <v>83</v>
      </c>
      <c r="G53" s="72">
        <f t="shared" ref="G53" si="34">+E49</f>
        <v>0.185</v>
      </c>
      <c r="H53" s="73"/>
      <c r="I53" s="74"/>
      <c r="J53" s="75">
        <v>3.5999999999999997E-2</v>
      </c>
      <c r="K53" s="194"/>
      <c r="L53" s="194"/>
      <c r="M53" s="194"/>
      <c r="N53" s="194"/>
      <c r="O53" s="194"/>
      <c r="P53" s="199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3" customFormat="1" ht="14.1" customHeight="1" x14ac:dyDescent="0.2">
      <c r="B54" s="200" t="s">
        <v>29</v>
      </c>
      <c r="C54" s="203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5"/>
    </row>
    <row r="55" spans="1:26" s="3" customFormat="1" ht="14.1" customHeight="1" x14ac:dyDescent="0.2">
      <c r="B55" s="201"/>
      <c r="C55" s="206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8"/>
    </row>
    <row r="56" spans="1:26" s="3" customFormat="1" ht="14.1" customHeight="1" x14ac:dyDescent="0.2">
      <c r="B56" s="201"/>
      <c r="C56" s="206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8"/>
    </row>
    <row r="57" spans="1:26" s="3" customFormat="1" ht="14.1" customHeight="1" x14ac:dyDescent="0.2">
      <c r="B57" s="201"/>
      <c r="C57" s="206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8"/>
    </row>
    <row r="58" spans="1:26" s="3" customFormat="1" ht="14.1" customHeight="1" x14ac:dyDescent="0.2">
      <c r="B58" s="201"/>
      <c r="C58" s="206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8"/>
    </row>
    <row r="59" spans="1:26" s="3" customFormat="1" ht="14.1" customHeight="1" thickBot="1" x14ac:dyDescent="0.25">
      <c r="B59" s="202"/>
      <c r="C59" s="209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1"/>
    </row>
    <row r="60" spans="1:26" s="3" customFormat="1" ht="28.5" customHeight="1" thickBot="1" x14ac:dyDescent="0.25">
      <c r="A60" s="76"/>
      <c r="B60" s="77" t="s">
        <v>84</v>
      </c>
      <c r="C60" s="179" t="s">
        <v>85</v>
      </c>
      <c r="D60" s="179"/>
      <c r="E60" s="179"/>
      <c r="F60" s="179"/>
      <c r="G60" s="179"/>
      <c r="H60" s="180"/>
      <c r="I60" s="181"/>
      <c r="J60" s="77" t="s">
        <v>86</v>
      </c>
      <c r="K60" s="179" t="s">
        <v>87</v>
      </c>
      <c r="L60" s="179"/>
      <c r="M60" s="179"/>
      <c r="N60" s="179"/>
      <c r="O60" s="179"/>
      <c r="P60" s="180"/>
    </row>
    <row r="61" spans="1:26" s="3" customFormat="1" ht="28.5" customHeight="1" thickBot="1" x14ac:dyDescent="0.25">
      <c r="B61" s="78" t="s">
        <v>88</v>
      </c>
      <c r="C61" s="183" t="s">
        <v>89</v>
      </c>
      <c r="D61" s="183"/>
      <c r="E61" s="183"/>
      <c r="F61" s="183"/>
      <c r="G61" s="183"/>
      <c r="H61" s="184"/>
      <c r="I61" s="182"/>
      <c r="J61" s="78" t="s">
        <v>90</v>
      </c>
      <c r="K61" s="183" t="s">
        <v>91</v>
      </c>
      <c r="L61" s="183"/>
      <c r="M61" s="183"/>
      <c r="N61" s="183"/>
      <c r="O61" s="183"/>
      <c r="P61" s="184"/>
    </row>
    <row r="62" spans="1:26" s="19" customFormat="1" ht="13.5" customHeight="1" x14ac:dyDescent="0.25">
      <c r="A62" s="79"/>
      <c r="B62" s="185">
        <f>+B29</f>
        <v>3</v>
      </c>
      <c r="C62" s="188">
        <f>+C24</f>
        <v>1.1600000000000001</v>
      </c>
      <c r="D62" s="190">
        <f>+D24</f>
        <v>0.19800000000000001</v>
      </c>
      <c r="E62" s="190">
        <f>+E29</f>
        <v>0.19800000000000001</v>
      </c>
      <c r="F62" s="80" t="s">
        <v>79</v>
      </c>
      <c r="G62" s="80">
        <v>0.01</v>
      </c>
      <c r="H62" s="81"/>
      <c r="I62" s="82"/>
      <c r="J62" s="83">
        <v>0.26300000000000001</v>
      </c>
      <c r="K62" s="191">
        <f>+AVERAGE(J62:J72)</f>
        <v>0.47163636363636363</v>
      </c>
      <c r="L62" s="170">
        <f>ROUND(+(D62+D67)/2*(C67-C62),3)</f>
        <v>0.109</v>
      </c>
      <c r="M62" s="173">
        <f>ROUND(+K62*L62,4)</f>
        <v>5.1400000000000001E-2</v>
      </c>
      <c r="N62" s="170">
        <f>ROUND(+M62/$M$73*100,2)</f>
        <v>22.96</v>
      </c>
      <c r="O62" s="170"/>
      <c r="P62" s="17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s="19" customFormat="1" ht="13.5" customHeight="1" x14ac:dyDescent="0.25">
      <c r="A63" s="79"/>
      <c r="B63" s="186"/>
      <c r="C63" s="171"/>
      <c r="D63" s="171"/>
      <c r="E63" s="171"/>
      <c r="F63" s="85" t="s">
        <v>92</v>
      </c>
      <c r="G63" s="86">
        <f>+E62*0.1</f>
        <v>1.9800000000000002E-2</v>
      </c>
      <c r="H63" s="87"/>
      <c r="I63" s="88"/>
      <c r="J63" s="89">
        <v>0.25</v>
      </c>
      <c r="K63" s="171"/>
      <c r="L63" s="171"/>
      <c r="M63" s="171"/>
      <c r="N63" s="171"/>
      <c r="O63" s="171"/>
      <c r="P63" s="175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s="19" customFormat="1" ht="13.5" customHeight="1" x14ac:dyDescent="0.25">
      <c r="A64" s="79"/>
      <c r="B64" s="186"/>
      <c r="C64" s="171"/>
      <c r="D64" s="171"/>
      <c r="E64" s="171"/>
      <c r="F64" s="85" t="s">
        <v>93</v>
      </c>
      <c r="G64" s="86">
        <f>+E62*0.2</f>
        <v>3.9600000000000003E-2</v>
      </c>
      <c r="H64" s="87"/>
      <c r="I64" s="88"/>
      <c r="J64" s="89">
        <v>0.27200000000000002</v>
      </c>
      <c r="K64" s="171"/>
      <c r="L64" s="171"/>
      <c r="M64" s="171"/>
      <c r="N64" s="171"/>
      <c r="O64" s="171"/>
      <c r="P64" s="175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s="19" customFormat="1" ht="13.5" customHeight="1" x14ac:dyDescent="0.25">
      <c r="A65" s="79"/>
      <c r="B65" s="186"/>
      <c r="C65" s="171"/>
      <c r="D65" s="171"/>
      <c r="E65" s="171"/>
      <c r="F65" s="85" t="s">
        <v>94</v>
      </c>
      <c r="G65" s="86">
        <f>+E62*0.3</f>
        <v>5.9400000000000001E-2</v>
      </c>
      <c r="H65" s="87"/>
      <c r="I65" s="88"/>
      <c r="J65" s="89">
        <v>0.46899999999999997</v>
      </c>
      <c r="K65" s="171"/>
      <c r="L65" s="171"/>
      <c r="M65" s="171"/>
      <c r="N65" s="171"/>
      <c r="O65" s="171"/>
      <c r="P65" s="175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s="19" customFormat="1" ht="13.5" customHeight="1" x14ac:dyDescent="0.25">
      <c r="A66" s="79"/>
      <c r="B66" s="186"/>
      <c r="C66" s="189"/>
      <c r="D66" s="189"/>
      <c r="E66" s="171"/>
      <c r="F66" s="85" t="s">
        <v>95</v>
      </c>
      <c r="G66" s="86">
        <f>+E62*0.4</f>
        <v>7.9200000000000007E-2</v>
      </c>
      <c r="H66" s="87"/>
      <c r="I66" s="88"/>
      <c r="J66" s="89">
        <v>0.56100000000000005</v>
      </c>
      <c r="K66" s="171"/>
      <c r="L66" s="171"/>
      <c r="M66" s="171"/>
      <c r="N66" s="171"/>
      <c r="O66" s="171"/>
      <c r="P66" s="175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s="19" customFormat="1" ht="13.5" customHeight="1" x14ac:dyDescent="0.25">
      <c r="A67" s="79"/>
      <c r="B67" s="186"/>
      <c r="C67" s="177">
        <f>+C29</f>
        <v>1.7100000000000002</v>
      </c>
      <c r="D67" s="178">
        <f>+D29</f>
        <v>0.19800000000000001</v>
      </c>
      <c r="E67" s="171"/>
      <c r="F67" s="85" t="s">
        <v>30</v>
      </c>
      <c r="G67" s="86">
        <f>+E62*0.5</f>
        <v>9.9000000000000005E-2</v>
      </c>
      <c r="H67" s="87"/>
      <c r="I67" s="88"/>
      <c r="J67" s="89">
        <v>0.53600000000000003</v>
      </c>
      <c r="K67" s="171"/>
      <c r="L67" s="171"/>
      <c r="M67" s="171"/>
      <c r="N67" s="171"/>
      <c r="O67" s="171"/>
      <c r="P67" s="175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s="19" customFormat="1" ht="13.5" customHeight="1" x14ac:dyDescent="0.25">
      <c r="A68" s="79"/>
      <c r="B68" s="186"/>
      <c r="C68" s="171"/>
      <c r="D68" s="171"/>
      <c r="E68" s="171"/>
      <c r="F68" s="85" t="s">
        <v>96</v>
      </c>
      <c r="G68" s="86">
        <f>+E62*0.6</f>
        <v>0.1188</v>
      </c>
      <c r="H68" s="87"/>
      <c r="I68" s="88"/>
      <c r="J68" s="89">
        <v>0.55700000000000005</v>
      </c>
      <c r="K68" s="171"/>
      <c r="L68" s="171"/>
      <c r="M68" s="171"/>
      <c r="N68" s="171"/>
      <c r="O68" s="171"/>
      <c r="P68" s="175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s="19" customFormat="1" ht="13.5" customHeight="1" x14ac:dyDescent="0.25">
      <c r="A69" s="79"/>
      <c r="B69" s="186"/>
      <c r="C69" s="171"/>
      <c r="D69" s="171"/>
      <c r="E69" s="171"/>
      <c r="F69" s="85" t="s">
        <v>97</v>
      </c>
      <c r="G69" s="86">
        <f>+E62*0.7</f>
        <v>0.1386</v>
      </c>
      <c r="H69" s="87"/>
      <c r="I69" s="88"/>
      <c r="J69" s="89">
        <v>0.627</v>
      </c>
      <c r="K69" s="171"/>
      <c r="L69" s="171"/>
      <c r="M69" s="171"/>
      <c r="N69" s="171"/>
      <c r="O69" s="171"/>
      <c r="P69" s="175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s="19" customFormat="1" ht="13.5" customHeight="1" x14ac:dyDescent="0.25">
      <c r="A70" s="79"/>
      <c r="B70" s="186"/>
      <c r="C70" s="171"/>
      <c r="D70" s="171"/>
      <c r="E70" s="171"/>
      <c r="F70" s="85" t="s">
        <v>98</v>
      </c>
      <c r="G70" s="86">
        <f>+E62*0.8</f>
        <v>0.15840000000000001</v>
      </c>
      <c r="H70" s="87"/>
      <c r="I70" s="88"/>
      <c r="J70" s="89">
        <v>0.53700000000000003</v>
      </c>
      <c r="K70" s="171"/>
      <c r="L70" s="171"/>
      <c r="M70" s="171"/>
      <c r="N70" s="171"/>
      <c r="O70" s="171"/>
      <c r="P70" s="175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s="19" customFormat="1" ht="13.5" customHeight="1" x14ac:dyDescent="0.25">
      <c r="A71" s="79"/>
      <c r="B71" s="186"/>
      <c r="C71" s="171"/>
      <c r="D71" s="171"/>
      <c r="E71" s="171"/>
      <c r="F71" s="85" t="s">
        <v>99</v>
      </c>
      <c r="G71" s="86">
        <f>+E62*0.9</f>
        <v>0.17820000000000003</v>
      </c>
      <c r="H71" s="87"/>
      <c r="I71" s="88"/>
      <c r="J71" s="89">
        <v>0.55800000000000005</v>
      </c>
      <c r="K71" s="171"/>
      <c r="L71" s="171"/>
      <c r="M71" s="171"/>
      <c r="N71" s="171"/>
      <c r="O71" s="171"/>
      <c r="P71" s="175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s="19" customFormat="1" ht="15.75" thickBot="1" x14ac:dyDescent="0.3">
      <c r="A72" s="79"/>
      <c r="B72" s="187"/>
      <c r="C72" s="172"/>
      <c r="D72" s="172"/>
      <c r="E72" s="172"/>
      <c r="F72" s="90" t="s">
        <v>31</v>
      </c>
      <c r="G72" s="90">
        <f>+E62</f>
        <v>0.19800000000000001</v>
      </c>
      <c r="H72" s="91"/>
      <c r="I72" s="92"/>
      <c r="J72" s="98">
        <v>0.55800000000000005</v>
      </c>
      <c r="K72" s="172"/>
      <c r="L72" s="172"/>
      <c r="M72" s="172"/>
      <c r="N72" s="172"/>
      <c r="O72" s="172"/>
      <c r="P72" s="176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s="3" customFormat="1" ht="12.75" x14ac:dyDescent="0.2">
      <c r="A73" s="11"/>
      <c r="B73" s="158"/>
      <c r="C73" s="158"/>
      <c r="D73" s="158"/>
      <c r="E73" s="158"/>
      <c r="F73" s="158"/>
      <c r="G73" s="158"/>
      <c r="H73" s="158"/>
      <c r="I73" s="158"/>
      <c r="J73" s="158"/>
      <c r="K73" s="12">
        <f>ROUND(+M73/L73,3)</f>
        <v>0.315</v>
      </c>
      <c r="L73" s="16">
        <f>SUM(L19:L72)</f>
        <v>0.71099999999999997</v>
      </c>
      <c r="M73" s="15">
        <f>SUM(M19:M72)</f>
        <v>0.22389999999999999</v>
      </c>
      <c r="N73" s="13">
        <f>ROUND(SUM(N19:N72),0)</f>
        <v>100</v>
      </c>
      <c r="O73" s="160" t="s">
        <v>33</v>
      </c>
      <c r="P73" s="162"/>
    </row>
    <row r="74" spans="1:26" s="3" customFormat="1" ht="15" customHeight="1" thickBot="1" x14ac:dyDescent="0.25">
      <c r="A74" s="11"/>
      <c r="B74" s="159"/>
      <c r="C74" s="159"/>
      <c r="D74" s="159"/>
      <c r="E74" s="159"/>
      <c r="F74" s="159"/>
      <c r="G74" s="159"/>
      <c r="H74" s="159"/>
      <c r="I74" s="159"/>
      <c r="J74" s="159"/>
      <c r="K74" s="14" t="s">
        <v>34</v>
      </c>
      <c r="L74" s="14" t="s">
        <v>50</v>
      </c>
      <c r="M74" s="14" t="s">
        <v>51</v>
      </c>
      <c r="N74" s="14" t="s">
        <v>35</v>
      </c>
      <c r="O74" s="161"/>
      <c r="P74" s="163"/>
    </row>
    <row r="75" spans="1:26" ht="15" customHeight="1" thickBot="1" x14ac:dyDescent="0.3">
      <c r="A75" s="5"/>
      <c r="B75" s="164" t="s">
        <v>100</v>
      </c>
      <c r="C75" s="165"/>
      <c r="D75" s="165"/>
      <c r="E75" s="165"/>
      <c r="F75" s="166"/>
      <c r="G75" s="164" t="s">
        <v>101</v>
      </c>
      <c r="H75" s="165"/>
      <c r="I75" s="165"/>
      <c r="J75" s="165"/>
      <c r="K75" s="166"/>
      <c r="L75" s="167" t="s">
        <v>53</v>
      </c>
      <c r="M75" s="168"/>
      <c r="N75" s="168"/>
      <c r="O75" s="168"/>
      <c r="P75" s="169"/>
    </row>
    <row r="76" spans="1:26" ht="15" customHeight="1" x14ac:dyDescent="0.25">
      <c r="A76" s="5"/>
      <c r="B76" s="128"/>
      <c r="C76" s="129"/>
      <c r="D76" s="129"/>
      <c r="E76" s="129"/>
      <c r="F76" s="130"/>
      <c r="G76" s="128"/>
      <c r="H76" s="129"/>
      <c r="I76" s="129"/>
      <c r="J76" s="129"/>
      <c r="K76" s="130"/>
      <c r="L76" s="137" t="s">
        <v>102</v>
      </c>
      <c r="M76" s="138"/>
      <c r="N76" s="138"/>
      <c r="O76" s="139">
        <f>+AVERAGE(E18:E53)</f>
        <v>0.18971428571428572</v>
      </c>
      <c r="P76" s="140"/>
    </row>
    <row r="77" spans="1:26" ht="15" customHeight="1" thickBot="1" x14ac:dyDescent="0.3">
      <c r="A77" s="5"/>
      <c r="B77" s="131"/>
      <c r="C77" s="132"/>
      <c r="D77" s="132"/>
      <c r="E77" s="132"/>
      <c r="F77" s="133"/>
      <c r="G77" s="131"/>
      <c r="H77" s="132"/>
      <c r="I77" s="132"/>
      <c r="J77" s="132"/>
      <c r="K77" s="133"/>
      <c r="L77" s="141" t="s">
        <v>103</v>
      </c>
      <c r="M77" s="142"/>
      <c r="N77" s="142"/>
      <c r="O77" s="143">
        <f>+MAX(E18:E53)</f>
        <v>0.19800000000000001</v>
      </c>
      <c r="P77" s="144"/>
    </row>
    <row r="78" spans="1:26" ht="18.600000000000001" customHeight="1" x14ac:dyDescent="0.25">
      <c r="A78" s="6"/>
      <c r="B78" s="131"/>
      <c r="C78" s="132"/>
      <c r="D78" s="132"/>
      <c r="E78" s="132"/>
      <c r="F78" s="133"/>
      <c r="G78" s="131"/>
      <c r="H78" s="132"/>
      <c r="I78" s="132"/>
      <c r="J78" s="132"/>
      <c r="K78" s="133"/>
      <c r="L78" s="145"/>
      <c r="M78" s="146"/>
      <c r="N78" s="146"/>
      <c r="O78" s="146"/>
      <c r="P78" s="147"/>
    </row>
    <row r="79" spans="1:26" ht="64.5" customHeight="1" x14ac:dyDescent="0.25">
      <c r="A79" s="10"/>
      <c r="B79" s="131"/>
      <c r="C79" s="132"/>
      <c r="D79" s="132"/>
      <c r="E79" s="132"/>
      <c r="F79" s="133"/>
      <c r="G79" s="131"/>
      <c r="H79" s="132"/>
      <c r="I79" s="132"/>
      <c r="J79" s="132"/>
      <c r="K79" s="133"/>
      <c r="L79" s="148"/>
      <c r="M79" s="149"/>
      <c r="N79" s="149"/>
      <c r="O79" s="149"/>
      <c r="P79" s="150"/>
    </row>
    <row r="80" spans="1:26" ht="15" customHeight="1" thickBot="1" x14ac:dyDescent="0.3">
      <c r="A80" s="5"/>
      <c r="B80" s="131"/>
      <c r="C80" s="132"/>
      <c r="D80" s="132"/>
      <c r="E80" s="132"/>
      <c r="F80" s="133"/>
      <c r="G80" s="131"/>
      <c r="H80" s="132"/>
      <c r="I80" s="132"/>
      <c r="J80" s="132"/>
      <c r="K80" s="133"/>
      <c r="L80" s="151"/>
      <c r="M80" s="152"/>
      <c r="N80" s="152"/>
      <c r="O80" s="152"/>
      <c r="P80" s="153"/>
    </row>
    <row r="81" spans="1:16" ht="22.5" customHeight="1" thickBot="1" x14ac:dyDescent="0.3">
      <c r="A81" s="5"/>
      <c r="B81" s="131"/>
      <c r="C81" s="132"/>
      <c r="D81" s="132"/>
      <c r="E81" s="132"/>
      <c r="F81" s="133"/>
      <c r="G81" s="131"/>
      <c r="H81" s="132"/>
      <c r="I81" s="132"/>
      <c r="J81" s="132"/>
      <c r="K81" s="133"/>
      <c r="L81" s="154" t="s">
        <v>36</v>
      </c>
      <c r="M81" s="155"/>
      <c r="N81" s="155"/>
      <c r="O81" s="155"/>
      <c r="P81" s="95">
        <v>5.62</v>
      </c>
    </row>
    <row r="82" spans="1:16" ht="32.25" customHeight="1" thickBot="1" x14ac:dyDescent="0.3">
      <c r="A82" s="5"/>
      <c r="B82" s="134"/>
      <c r="C82" s="135"/>
      <c r="D82" s="135"/>
      <c r="E82" s="135"/>
      <c r="F82" s="136"/>
      <c r="G82" s="134"/>
      <c r="H82" s="135"/>
      <c r="I82" s="135"/>
      <c r="J82" s="135"/>
      <c r="K82" s="136"/>
      <c r="L82" s="156" t="s">
        <v>52</v>
      </c>
      <c r="M82" s="157"/>
      <c r="N82" s="157"/>
      <c r="O82" s="157"/>
      <c r="P82" s="95">
        <v>0.21829999999999999</v>
      </c>
    </row>
    <row r="83" spans="1:16" ht="23.45" customHeight="1" thickBot="1" x14ac:dyDescent="0.3">
      <c r="A83" s="7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</row>
    <row r="84" spans="1:16" ht="15.75" thickBot="1" x14ac:dyDescent="0.3">
      <c r="A84" s="115" t="s">
        <v>37</v>
      </c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7"/>
    </row>
    <row r="85" spans="1:16" ht="159" customHeight="1" thickBot="1" x14ac:dyDescent="0.3">
      <c r="A85" s="4"/>
      <c r="B85" s="118"/>
      <c r="C85" s="119"/>
      <c r="D85" s="119"/>
      <c r="E85" s="119"/>
      <c r="F85" s="120"/>
      <c r="G85" s="118"/>
      <c r="H85" s="119"/>
      <c r="I85" s="119"/>
      <c r="J85" s="119"/>
      <c r="K85" s="120"/>
      <c r="L85" s="118"/>
      <c r="M85" s="119"/>
      <c r="N85" s="119"/>
      <c r="O85" s="119"/>
      <c r="P85" s="121"/>
    </row>
    <row r="86" spans="1:16" ht="21.75" customHeight="1" thickBot="1" x14ac:dyDescent="0.3">
      <c r="A86" s="4"/>
      <c r="B86" s="122" t="s">
        <v>112</v>
      </c>
      <c r="C86" s="123"/>
      <c r="D86" s="123"/>
      <c r="E86" s="123"/>
      <c r="F86" s="123"/>
      <c r="G86" s="123"/>
      <c r="H86" s="123"/>
      <c r="I86" s="123"/>
      <c r="J86" s="123"/>
      <c r="K86" s="124"/>
      <c r="L86" s="125" t="s">
        <v>104</v>
      </c>
      <c r="M86" s="126"/>
      <c r="N86" s="126"/>
      <c r="O86" s="126"/>
      <c r="P86" s="127"/>
    </row>
    <row r="87" spans="1:16" s="9" customFormat="1" ht="16.899999999999999" customHeight="1" thickBot="1" x14ac:dyDescent="0.3">
      <c r="A87" s="8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10"/>
    </row>
    <row r="88" spans="1:16" s="3" customFormat="1" ht="15.75" customHeight="1" thickBot="1" x14ac:dyDescent="0.25">
      <c r="A88" s="111" t="s">
        <v>38</v>
      </c>
      <c r="B88" s="112"/>
      <c r="C88" s="112"/>
      <c r="D88" s="112" t="s">
        <v>113</v>
      </c>
      <c r="E88" s="112"/>
      <c r="F88" s="112"/>
      <c r="G88" s="112"/>
      <c r="H88" s="112"/>
      <c r="I88" s="112"/>
      <c r="J88" s="112" t="s">
        <v>39</v>
      </c>
      <c r="K88" s="112"/>
      <c r="L88" s="112"/>
      <c r="M88" s="112"/>
      <c r="N88" s="112"/>
      <c r="O88" s="112"/>
      <c r="P88" s="113"/>
    </row>
  </sheetData>
  <mergeCells count="17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9:M53"/>
    <mergeCell ref="N49:N53"/>
    <mergeCell ref="O49:O53"/>
    <mergeCell ref="P49:P53"/>
    <mergeCell ref="B54:B59"/>
    <mergeCell ref="C54:P59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C60:H60"/>
    <mergeCell ref="I60:I61"/>
    <mergeCell ref="K60:P60"/>
    <mergeCell ref="C61:H61"/>
    <mergeCell ref="K61:P61"/>
    <mergeCell ref="B62:B72"/>
    <mergeCell ref="C62:C66"/>
    <mergeCell ref="D62:D66"/>
    <mergeCell ref="E62:E72"/>
    <mergeCell ref="K62:K72"/>
    <mergeCell ref="B73:J74"/>
    <mergeCell ref="O73:O74"/>
    <mergeCell ref="P73:P74"/>
    <mergeCell ref="B75:F75"/>
    <mergeCell ref="G75:K75"/>
    <mergeCell ref="L75:P75"/>
    <mergeCell ref="L62:L72"/>
    <mergeCell ref="M62:M72"/>
    <mergeCell ref="N62:N72"/>
    <mergeCell ref="O62:O72"/>
    <mergeCell ref="P62:P72"/>
    <mergeCell ref="C67:C72"/>
    <mergeCell ref="D67:D72"/>
    <mergeCell ref="B76:F82"/>
    <mergeCell ref="G76:K82"/>
    <mergeCell ref="L76:N76"/>
    <mergeCell ref="O76:P76"/>
    <mergeCell ref="L77:N77"/>
    <mergeCell ref="O77:P77"/>
    <mergeCell ref="L78:P80"/>
    <mergeCell ref="L81:O81"/>
    <mergeCell ref="L82:O82"/>
    <mergeCell ref="B87:P87"/>
    <mergeCell ref="A88:C88"/>
    <mergeCell ref="D88:I88"/>
    <mergeCell ref="J88:K88"/>
    <mergeCell ref="L88:P88"/>
    <mergeCell ref="B83:P83"/>
    <mergeCell ref="A84:P84"/>
    <mergeCell ref="B85:F85"/>
    <mergeCell ref="G85:K85"/>
    <mergeCell ref="L85:P85"/>
    <mergeCell ref="B86:K86"/>
    <mergeCell ref="L86:P8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rowBreaks count="1" manualBreakCount="1">
    <brk id="74" min="1" max="15" man="1"/>
  </rowBreaks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120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6.2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8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9">
        <v>43080</v>
      </c>
      <c r="D5" s="300"/>
      <c r="E5" s="22" t="s">
        <v>1</v>
      </c>
      <c r="F5" s="23">
        <v>2</v>
      </c>
      <c r="G5" s="24" t="s">
        <v>2</v>
      </c>
      <c r="H5" s="301" t="s">
        <v>121</v>
      </c>
      <c r="I5" s="302"/>
      <c r="J5" s="302"/>
      <c r="K5" s="302"/>
      <c r="L5" s="302"/>
      <c r="M5" s="302"/>
      <c r="N5" s="302"/>
      <c r="O5" s="302"/>
      <c r="P5" s="303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2" t="s">
        <v>3</v>
      </c>
      <c r="C6" s="283"/>
      <c r="D6" s="284" t="s">
        <v>109</v>
      </c>
      <c r="E6" s="285"/>
      <c r="F6" s="285"/>
      <c r="G6" s="285"/>
      <c r="H6" s="285"/>
      <c r="I6" s="286"/>
      <c r="J6" s="28" t="s">
        <v>4</v>
      </c>
      <c r="K6" s="287" t="s">
        <v>110</v>
      </c>
      <c r="L6" s="286"/>
      <c r="M6" s="287" t="s">
        <v>111</v>
      </c>
      <c r="N6" s="288"/>
      <c r="O6" s="29" t="s">
        <v>54</v>
      </c>
      <c r="P6" s="30">
        <v>1942</v>
      </c>
    </row>
    <row r="7" spans="1:26" s="26" customFormat="1" ht="21.75" customHeight="1" x14ac:dyDescent="0.25">
      <c r="B7" s="289" t="s">
        <v>55</v>
      </c>
      <c r="C7" s="290" t="s">
        <v>56</v>
      </c>
      <c r="D7" s="260"/>
      <c r="E7" s="32"/>
      <c r="F7" s="291" t="s">
        <v>57</v>
      </c>
      <c r="G7" s="292"/>
      <c r="H7" s="292"/>
      <c r="I7" s="292"/>
      <c r="J7" s="293" t="s">
        <v>58</v>
      </c>
      <c r="K7" s="294"/>
      <c r="L7" s="294"/>
      <c r="M7" s="295"/>
      <c r="N7" s="296" t="s">
        <v>59</v>
      </c>
      <c r="O7" s="297"/>
      <c r="P7" s="33" t="s">
        <v>60</v>
      </c>
    </row>
    <row r="8" spans="1:26" s="26" customFormat="1" ht="21.75" customHeight="1" thickBot="1" x14ac:dyDescent="0.3">
      <c r="B8" s="234"/>
      <c r="C8" s="251" t="s">
        <v>61</v>
      </c>
      <c r="D8" s="250"/>
      <c r="E8" s="34" t="s">
        <v>5</v>
      </c>
      <c r="F8" s="261" t="s">
        <v>6</v>
      </c>
      <c r="G8" s="262"/>
      <c r="H8" s="262"/>
      <c r="I8" s="262"/>
      <c r="J8" s="263"/>
      <c r="K8" s="264"/>
      <c r="L8" s="264"/>
      <c r="M8" s="265"/>
      <c r="N8" s="266"/>
      <c r="O8" s="267"/>
      <c r="P8" s="35"/>
    </row>
    <row r="9" spans="1:26" s="26" customFormat="1" ht="21.75" customHeight="1" x14ac:dyDescent="0.25">
      <c r="B9" s="268" t="s">
        <v>7</v>
      </c>
      <c r="C9" s="271" t="s">
        <v>62</v>
      </c>
      <c r="D9" s="272" t="s">
        <v>63</v>
      </c>
      <c r="E9" s="257"/>
      <c r="F9" s="36"/>
      <c r="G9" s="273" t="s">
        <v>8</v>
      </c>
      <c r="H9" s="274" t="s">
        <v>9</v>
      </c>
      <c r="I9" s="260"/>
      <c r="J9" s="37"/>
      <c r="K9" s="271" t="s">
        <v>64</v>
      </c>
      <c r="L9" s="275" t="s">
        <v>114</v>
      </c>
      <c r="M9" s="276"/>
      <c r="N9" s="277"/>
      <c r="O9" s="277"/>
      <c r="P9" s="278"/>
    </row>
    <row r="10" spans="1:26" s="26" customFormat="1" ht="21.75" customHeight="1" thickBot="1" x14ac:dyDescent="0.3">
      <c r="B10" s="269"/>
      <c r="C10" s="214"/>
      <c r="D10" s="255" t="s">
        <v>65</v>
      </c>
      <c r="E10" s="250"/>
      <c r="F10" s="38" t="s">
        <v>5</v>
      </c>
      <c r="G10" s="214"/>
      <c r="H10" s="255" t="s">
        <v>10</v>
      </c>
      <c r="I10" s="250"/>
      <c r="J10" s="39" t="s">
        <v>5</v>
      </c>
      <c r="K10" s="214"/>
      <c r="L10" s="279"/>
      <c r="M10" s="280"/>
      <c r="N10" s="280"/>
      <c r="O10" s="280"/>
      <c r="P10" s="281"/>
    </row>
    <row r="11" spans="1:26" s="26" customFormat="1" ht="21.75" customHeight="1" x14ac:dyDescent="0.25">
      <c r="A11" s="20"/>
      <c r="B11" s="269"/>
      <c r="C11" s="256" t="s">
        <v>11</v>
      </c>
      <c r="D11" s="257"/>
      <c r="E11" s="40">
        <v>0.34722222222222227</v>
      </c>
      <c r="F11" s="258" t="s">
        <v>12</v>
      </c>
      <c r="G11" s="257"/>
      <c r="H11" s="41">
        <v>1.5</v>
      </c>
      <c r="I11" s="259" t="s">
        <v>13</v>
      </c>
      <c r="J11" s="260"/>
      <c r="K11" s="41">
        <v>16</v>
      </c>
      <c r="L11" s="256" t="s">
        <v>14</v>
      </c>
      <c r="M11" s="257"/>
      <c r="N11" s="42">
        <v>3.91</v>
      </c>
      <c r="O11" s="247" t="s">
        <v>66</v>
      </c>
      <c r="P11" s="248"/>
    </row>
    <row r="12" spans="1:26" s="26" customFormat="1" ht="21.75" customHeight="1" thickBot="1" x14ac:dyDescent="0.3">
      <c r="A12" s="20"/>
      <c r="B12" s="270"/>
      <c r="C12" s="249" t="s">
        <v>15</v>
      </c>
      <c r="D12" s="250"/>
      <c r="E12" s="40">
        <v>0.3972222222222222</v>
      </c>
      <c r="F12" s="251" t="s">
        <v>16</v>
      </c>
      <c r="G12" s="250"/>
      <c r="H12" s="41">
        <v>1.5</v>
      </c>
      <c r="I12" s="252" t="s">
        <v>17</v>
      </c>
      <c r="J12" s="250"/>
      <c r="K12" s="40">
        <v>0.36180555555555555</v>
      </c>
      <c r="L12" s="249" t="s">
        <v>18</v>
      </c>
      <c r="M12" s="250"/>
      <c r="N12" s="43">
        <v>0.5</v>
      </c>
      <c r="O12" s="253">
        <v>0.06</v>
      </c>
      <c r="P12" s="254"/>
    </row>
    <row r="13" spans="1:26" s="26" customFormat="1" ht="21.75" customHeight="1" x14ac:dyDescent="0.25">
      <c r="A13" s="20"/>
      <c r="B13" s="232" t="s">
        <v>19</v>
      </c>
      <c r="C13" s="235" t="s">
        <v>67</v>
      </c>
      <c r="D13" s="236"/>
      <c r="E13" s="236"/>
      <c r="F13" s="237" t="s">
        <v>68</v>
      </c>
      <c r="G13" s="236"/>
      <c r="H13" s="236"/>
      <c r="I13" s="236"/>
      <c r="J13" s="237" t="s">
        <v>69</v>
      </c>
      <c r="K13" s="236"/>
      <c r="L13" s="236"/>
      <c r="M13" s="236"/>
      <c r="N13" s="238" t="s">
        <v>70</v>
      </c>
      <c r="O13" s="236"/>
      <c r="P13" s="239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3"/>
      <c r="C14" s="240" t="s">
        <v>71</v>
      </c>
      <c r="D14" s="241"/>
      <c r="E14" s="241"/>
      <c r="F14" s="242" t="s">
        <v>72</v>
      </c>
      <c r="G14" s="241"/>
      <c r="H14" s="241"/>
      <c r="I14" s="241"/>
      <c r="J14" s="243" t="s">
        <v>73</v>
      </c>
      <c r="K14" s="241"/>
      <c r="L14" s="241"/>
      <c r="M14" s="241"/>
      <c r="N14" s="244"/>
      <c r="O14" s="229"/>
      <c r="P14" s="24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4"/>
      <c r="C15" s="246" t="s">
        <v>74</v>
      </c>
      <c r="D15" s="216"/>
      <c r="E15" s="216"/>
      <c r="F15" s="216" t="s">
        <v>75</v>
      </c>
      <c r="G15" s="217"/>
      <c r="H15" s="217"/>
      <c r="I15" s="217"/>
      <c r="J15" s="216" t="s">
        <v>76</v>
      </c>
      <c r="K15" s="217"/>
      <c r="L15" s="217"/>
      <c r="M15" s="217"/>
      <c r="N15" s="218"/>
      <c r="O15" s="219"/>
      <c r="P15" s="220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1" t="s">
        <v>20</v>
      </c>
      <c r="C16" s="223" t="s">
        <v>21</v>
      </c>
      <c r="D16" s="223" t="s">
        <v>42</v>
      </c>
      <c r="E16" s="225" t="s">
        <v>22</v>
      </c>
      <c r="F16" s="226" t="s">
        <v>43</v>
      </c>
      <c r="G16" s="227"/>
      <c r="H16" s="223" t="s">
        <v>77</v>
      </c>
      <c r="I16" s="230" t="s">
        <v>78</v>
      </c>
      <c r="J16" s="94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2"/>
      <c r="C17" s="224"/>
      <c r="D17" s="224"/>
      <c r="E17" s="224"/>
      <c r="F17" s="228"/>
      <c r="G17" s="229"/>
      <c r="H17" s="224"/>
      <c r="I17" s="231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0.06</v>
      </c>
      <c r="D18" s="54">
        <v>2.5000000000000001E-2</v>
      </c>
      <c r="E18" s="55"/>
      <c r="F18" s="56"/>
      <c r="G18" s="97"/>
      <c r="H18" s="57"/>
      <c r="I18" s="58"/>
      <c r="J18" s="96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2">
        <v>1</v>
      </c>
      <c r="C19" s="215">
        <f>+C18+$N$12</f>
        <v>0.56000000000000005</v>
      </c>
      <c r="D19" s="192">
        <v>0.04</v>
      </c>
      <c r="E19" s="192">
        <v>0.04</v>
      </c>
      <c r="F19" s="61" t="s">
        <v>79</v>
      </c>
      <c r="G19" s="62">
        <v>0</v>
      </c>
      <c r="H19" s="63"/>
      <c r="I19" s="64"/>
      <c r="J19" s="65"/>
      <c r="K19" s="192">
        <f>+IF(E19&lt;=0.12,(J21),(IF(E19&lt;0.16,((J20+2*J21+J22)/4),IF(E19&gt;=0.16,((J19+3*J20+2*J21+3*J22+J23)/10)))))</f>
        <v>0</v>
      </c>
      <c r="L19" s="192">
        <f>ROUND(+(D18+D19)/2*(C19-C18),3)</f>
        <v>1.6E-2</v>
      </c>
      <c r="M19" s="192">
        <f>ROUND(+K19*L19,4)</f>
        <v>0</v>
      </c>
      <c r="N19" s="195">
        <f>ROUND(+M19/$M$78*100,2)</f>
        <v>0</v>
      </c>
      <c r="O19" s="196"/>
      <c r="P19" s="197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3"/>
      <c r="C20" s="193"/>
      <c r="D20" s="193"/>
      <c r="E20" s="193"/>
      <c r="F20" s="66" t="s">
        <v>80</v>
      </c>
      <c r="G20" s="67" t="str">
        <f>IF(E19&lt;0.125,"NA",IF(0.125&lt;=E19,(0.2*E19)))</f>
        <v>NA</v>
      </c>
      <c r="H20" s="68"/>
      <c r="I20" s="69"/>
      <c r="J20" s="70"/>
      <c r="K20" s="193"/>
      <c r="L20" s="193"/>
      <c r="M20" s="193"/>
      <c r="N20" s="193"/>
      <c r="O20" s="193"/>
      <c r="P20" s="198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3"/>
      <c r="C21" s="193"/>
      <c r="D21" s="193"/>
      <c r="E21" s="193"/>
      <c r="F21" s="66" t="s">
        <v>81</v>
      </c>
      <c r="G21" s="67">
        <f>+E19*0.4</f>
        <v>1.6E-2</v>
      </c>
      <c r="H21" s="68"/>
      <c r="I21" s="69"/>
      <c r="J21" s="70">
        <v>0</v>
      </c>
      <c r="K21" s="193"/>
      <c r="L21" s="193"/>
      <c r="M21" s="193"/>
      <c r="N21" s="193"/>
      <c r="O21" s="193"/>
      <c r="P21" s="198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3"/>
      <c r="C22" s="193"/>
      <c r="D22" s="193"/>
      <c r="E22" s="193"/>
      <c r="F22" s="66" t="s">
        <v>82</v>
      </c>
      <c r="G22" s="67" t="str">
        <f>IF(E19&lt;0.125,"NA",IF(0.125&lt;=E19,(0.8*E19)))</f>
        <v>NA</v>
      </c>
      <c r="H22" s="68"/>
      <c r="I22" s="69"/>
      <c r="J22" s="70"/>
      <c r="K22" s="193"/>
      <c r="L22" s="193"/>
      <c r="M22" s="193"/>
      <c r="N22" s="193"/>
      <c r="O22" s="193"/>
      <c r="P22" s="198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4"/>
      <c r="C23" s="194"/>
      <c r="D23" s="194"/>
      <c r="E23" s="194"/>
      <c r="F23" s="71" t="s">
        <v>83</v>
      </c>
      <c r="G23" s="72">
        <f>+E19</f>
        <v>0.04</v>
      </c>
      <c r="H23" s="73"/>
      <c r="I23" s="74"/>
      <c r="J23" s="75"/>
      <c r="K23" s="194"/>
      <c r="L23" s="194"/>
      <c r="M23" s="194"/>
      <c r="N23" s="194"/>
      <c r="O23" s="194"/>
      <c r="P23" s="199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2">
        <v>2</v>
      </c>
      <c r="C24" s="215">
        <f>+C19+$N$12</f>
        <v>1.06</v>
      </c>
      <c r="D24" s="192">
        <v>5.0999999999999997E-2</v>
      </c>
      <c r="E24" s="192">
        <v>5.1999999999999998E-2</v>
      </c>
      <c r="F24" s="61" t="s">
        <v>79</v>
      </c>
      <c r="G24" s="62">
        <v>0</v>
      </c>
      <c r="H24" s="63"/>
      <c r="I24" s="64"/>
      <c r="J24" s="65"/>
      <c r="K24" s="192">
        <f>+IF(E24&lt;=0.12,(J26),(IF(E24&lt;0.16,((J25+2*J26+J27)/4),IF(E24&gt;=0.16,((J24+3*J25+2*J26+3*J27+J28)/10)))))</f>
        <v>1.175</v>
      </c>
      <c r="L24" s="192">
        <f>ROUND(+(D19+D24)/2*(C24-C19),3)</f>
        <v>2.3E-2</v>
      </c>
      <c r="M24" s="192">
        <f>ROUND(+K24*L24,4)</f>
        <v>2.7E-2</v>
      </c>
      <c r="N24" s="195">
        <f>ROUND(+M24/$M$78*100,2)</f>
        <v>7.08</v>
      </c>
      <c r="O24" s="196"/>
      <c r="P24" s="197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3"/>
      <c r="C25" s="193"/>
      <c r="D25" s="193"/>
      <c r="E25" s="193"/>
      <c r="F25" s="66" t="s">
        <v>80</v>
      </c>
      <c r="G25" s="67" t="str">
        <f t="shared" ref="G25" si="0">IF(E24&lt;0.125,"NA",IF(0.125&lt;=E24,(0.2*E24)))</f>
        <v>NA</v>
      </c>
      <c r="H25" s="68"/>
      <c r="I25" s="69"/>
      <c r="J25" s="70"/>
      <c r="K25" s="193"/>
      <c r="L25" s="193"/>
      <c r="M25" s="193"/>
      <c r="N25" s="193"/>
      <c r="O25" s="193"/>
      <c r="P25" s="198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3"/>
      <c r="C26" s="193"/>
      <c r="D26" s="193"/>
      <c r="E26" s="193"/>
      <c r="F26" s="66" t="s">
        <v>81</v>
      </c>
      <c r="G26" s="67">
        <f t="shared" ref="G26" si="1">+E24*0.4</f>
        <v>2.0799999999999999E-2</v>
      </c>
      <c r="H26" s="68"/>
      <c r="I26" s="69"/>
      <c r="J26" s="70">
        <v>1.175</v>
      </c>
      <c r="K26" s="193"/>
      <c r="L26" s="193"/>
      <c r="M26" s="193"/>
      <c r="N26" s="193"/>
      <c r="O26" s="193"/>
      <c r="P26" s="198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3"/>
      <c r="C27" s="193"/>
      <c r="D27" s="193"/>
      <c r="E27" s="193"/>
      <c r="F27" s="66" t="s">
        <v>82</v>
      </c>
      <c r="G27" s="67" t="str">
        <f t="shared" ref="G27" si="2">IF(E24&lt;0.125,"NA",IF(0.125&lt;=E24,(0.8*E24)))</f>
        <v>NA</v>
      </c>
      <c r="H27" s="68"/>
      <c r="I27" s="69"/>
      <c r="J27" s="70"/>
      <c r="K27" s="193"/>
      <c r="L27" s="193"/>
      <c r="M27" s="193"/>
      <c r="N27" s="193"/>
      <c r="O27" s="193"/>
      <c r="P27" s="198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4"/>
      <c r="C28" s="194"/>
      <c r="D28" s="194"/>
      <c r="E28" s="194"/>
      <c r="F28" s="71" t="s">
        <v>83</v>
      </c>
      <c r="G28" s="72">
        <f t="shared" ref="G28" si="3">+E24</f>
        <v>5.1999999999999998E-2</v>
      </c>
      <c r="H28" s="73"/>
      <c r="I28" s="74"/>
      <c r="J28" s="75"/>
      <c r="K28" s="194"/>
      <c r="L28" s="194"/>
      <c r="M28" s="194"/>
      <c r="N28" s="194"/>
      <c r="O28" s="194"/>
      <c r="P28" s="199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2">
        <v>3</v>
      </c>
      <c r="C29" s="215">
        <f>+C24+$N$12</f>
        <v>1.56</v>
      </c>
      <c r="D29" s="192">
        <v>7.6999999999999999E-2</v>
      </c>
      <c r="E29" s="192">
        <v>6.8000000000000005E-2</v>
      </c>
      <c r="F29" s="61" t="s">
        <v>79</v>
      </c>
      <c r="G29" s="62">
        <v>0</v>
      </c>
      <c r="H29" s="63"/>
      <c r="I29" s="64"/>
      <c r="J29" s="65"/>
      <c r="K29" s="192">
        <f t="shared" ref="K29" si="4">+IF(E29&lt;=0.12,(J31),(IF(E29&lt;0.16,((J30+2*J31+J32)/4),IF(E29&gt;=0.16,((J29+3*J30+2*J31+3*J32+J33)/10)))))</f>
        <v>1.4019999999999999</v>
      </c>
      <c r="L29" s="192">
        <f>ROUND(+(D24+D29)/2*(C29-C24),3)</f>
        <v>3.2000000000000001E-2</v>
      </c>
      <c r="M29" s="192">
        <f t="shared" ref="M29" si="5">ROUND(+K29*L29,4)</f>
        <v>4.4900000000000002E-2</v>
      </c>
      <c r="N29" s="195">
        <f t="shared" ref="N29" si="6">ROUND(+M29/$M$78*100,2)</f>
        <v>11.78</v>
      </c>
      <c r="O29" s="196"/>
      <c r="P29" s="197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3"/>
      <c r="C30" s="193"/>
      <c r="D30" s="193"/>
      <c r="E30" s="193"/>
      <c r="F30" s="66" t="s">
        <v>80</v>
      </c>
      <c r="G30" s="67" t="str">
        <f t="shared" ref="G30" si="7">IF(E29&lt;0.125,"NA",IF(0.125&lt;=E29,(0.2*E29)))</f>
        <v>NA</v>
      </c>
      <c r="H30" s="68"/>
      <c r="I30" s="69"/>
      <c r="J30" s="70"/>
      <c r="K30" s="193"/>
      <c r="L30" s="193"/>
      <c r="M30" s="193"/>
      <c r="N30" s="193"/>
      <c r="O30" s="193"/>
      <c r="P30" s="198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3"/>
      <c r="C31" s="193"/>
      <c r="D31" s="193"/>
      <c r="E31" s="193"/>
      <c r="F31" s="66" t="s">
        <v>81</v>
      </c>
      <c r="G31" s="67">
        <f t="shared" ref="G31" si="8">+E29*0.4</f>
        <v>2.7200000000000002E-2</v>
      </c>
      <c r="H31" s="68"/>
      <c r="I31" s="69"/>
      <c r="J31" s="70">
        <v>1.4019999999999999</v>
      </c>
      <c r="K31" s="193"/>
      <c r="L31" s="193"/>
      <c r="M31" s="193"/>
      <c r="N31" s="193"/>
      <c r="O31" s="193"/>
      <c r="P31" s="198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3"/>
      <c r="C32" s="193"/>
      <c r="D32" s="193"/>
      <c r="E32" s="193"/>
      <c r="F32" s="66" t="s">
        <v>82</v>
      </c>
      <c r="G32" s="67" t="str">
        <f t="shared" ref="G32" si="9">IF(E29&lt;0.125,"NA",IF(0.125&lt;=E29,(0.8*E29)))</f>
        <v>NA</v>
      </c>
      <c r="H32" s="68"/>
      <c r="I32" s="69"/>
      <c r="J32" s="70"/>
      <c r="K32" s="193"/>
      <c r="L32" s="193"/>
      <c r="M32" s="193"/>
      <c r="N32" s="193"/>
      <c r="O32" s="193"/>
      <c r="P32" s="198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4"/>
      <c r="C33" s="194"/>
      <c r="D33" s="194"/>
      <c r="E33" s="194"/>
      <c r="F33" s="71" t="s">
        <v>83</v>
      </c>
      <c r="G33" s="72">
        <f t="shared" ref="G33" si="10">+E29</f>
        <v>6.8000000000000005E-2</v>
      </c>
      <c r="H33" s="73"/>
      <c r="I33" s="74"/>
      <c r="J33" s="75">
        <v>1.4059999999999999</v>
      </c>
      <c r="K33" s="194"/>
      <c r="L33" s="194"/>
      <c r="M33" s="194"/>
      <c r="N33" s="194"/>
      <c r="O33" s="194"/>
      <c r="P33" s="199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2">
        <v>4</v>
      </c>
      <c r="C34" s="215">
        <f>+C29+$N$12</f>
        <v>2.06</v>
      </c>
      <c r="D34" s="192">
        <v>4.5999999999999999E-2</v>
      </c>
      <c r="E34" s="192">
        <v>7.6999999999999999E-2</v>
      </c>
      <c r="F34" s="61" t="s">
        <v>79</v>
      </c>
      <c r="G34" s="62">
        <v>0</v>
      </c>
      <c r="H34" s="63"/>
      <c r="I34" s="64"/>
      <c r="J34" s="65"/>
      <c r="K34" s="192">
        <f t="shared" ref="K34" si="11">+IF(E34&lt;=0.12,(J36),(IF(E34&lt;0.16,((J35+2*J36+J37)/4),IF(E34&gt;=0.16,((J34+3*J35+2*J36+3*J37+J38)/10)))))</f>
        <v>1.675</v>
      </c>
      <c r="L34" s="192">
        <f>ROUND(+(D29+D34)/2*(C34-C29),3)</f>
        <v>3.1E-2</v>
      </c>
      <c r="M34" s="192">
        <f t="shared" ref="M34" si="12">ROUND(+K34*L34,4)</f>
        <v>5.1900000000000002E-2</v>
      </c>
      <c r="N34" s="195">
        <f t="shared" ref="N34" si="13">ROUND(+M34/$M$78*100,2)</f>
        <v>13.62</v>
      </c>
      <c r="O34" s="196"/>
      <c r="P34" s="197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3"/>
      <c r="C35" s="193"/>
      <c r="D35" s="193"/>
      <c r="E35" s="193"/>
      <c r="F35" s="66" t="s">
        <v>80</v>
      </c>
      <c r="G35" s="67" t="str">
        <f t="shared" ref="G35" si="14">IF(E34&lt;0.125,"NA",IF(0.125&lt;=E34,(0.2*E34)))</f>
        <v>NA</v>
      </c>
      <c r="H35" s="68"/>
      <c r="I35" s="69"/>
      <c r="J35" s="70"/>
      <c r="K35" s="193"/>
      <c r="L35" s="193"/>
      <c r="M35" s="193"/>
      <c r="N35" s="193"/>
      <c r="O35" s="193"/>
      <c r="P35" s="198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3"/>
      <c r="C36" s="193"/>
      <c r="D36" s="193"/>
      <c r="E36" s="193"/>
      <c r="F36" s="66" t="s">
        <v>81</v>
      </c>
      <c r="G36" s="67">
        <f t="shared" ref="G36" si="15">+E34*0.4</f>
        <v>3.0800000000000001E-2</v>
      </c>
      <c r="H36" s="68"/>
      <c r="I36" s="69"/>
      <c r="J36" s="70">
        <v>1.675</v>
      </c>
      <c r="K36" s="193"/>
      <c r="L36" s="193"/>
      <c r="M36" s="193"/>
      <c r="N36" s="193"/>
      <c r="O36" s="193"/>
      <c r="P36" s="198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3"/>
      <c r="C37" s="193"/>
      <c r="D37" s="193"/>
      <c r="E37" s="193"/>
      <c r="F37" s="66" t="s">
        <v>82</v>
      </c>
      <c r="G37" s="67" t="str">
        <f t="shared" ref="G37" si="16">IF(E34&lt;0.125,"NA",IF(0.125&lt;=E34,(0.8*E34)))</f>
        <v>NA</v>
      </c>
      <c r="H37" s="68"/>
      <c r="I37" s="69"/>
      <c r="J37" s="70"/>
      <c r="K37" s="193"/>
      <c r="L37" s="193"/>
      <c r="M37" s="193"/>
      <c r="N37" s="193"/>
      <c r="O37" s="193"/>
      <c r="P37" s="198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4"/>
      <c r="C38" s="194"/>
      <c r="D38" s="194"/>
      <c r="E38" s="194"/>
      <c r="F38" s="71" t="s">
        <v>83</v>
      </c>
      <c r="G38" s="72">
        <f t="shared" ref="G38" si="17">+E34</f>
        <v>7.6999999999999999E-2</v>
      </c>
      <c r="H38" s="73"/>
      <c r="I38" s="74"/>
      <c r="J38" s="75">
        <v>1.62</v>
      </c>
      <c r="K38" s="194"/>
      <c r="L38" s="194"/>
      <c r="M38" s="194"/>
      <c r="N38" s="194"/>
      <c r="O38" s="194"/>
      <c r="P38" s="199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2">
        <v>5</v>
      </c>
      <c r="C39" s="215">
        <f>+C34+$N$12</f>
        <v>2.56</v>
      </c>
      <c r="D39" s="192">
        <v>0.08</v>
      </c>
      <c r="E39" s="192">
        <v>7.4999999999999997E-2</v>
      </c>
      <c r="F39" s="61" t="s">
        <v>79</v>
      </c>
      <c r="G39" s="62">
        <v>0</v>
      </c>
      <c r="H39" s="63"/>
      <c r="I39" s="64"/>
      <c r="J39" s="65"/>
      <c r="K39" s="192">
        <f t="shared" ref="K39" si="18">+IF(E39&lt;=0.12,(J41),(IF(E39&lt;0.16,((J40+2*J41+J42)/4),IF(E39&gt;=0.16,((J39+3*J40+2*J41+3*J42+J43)/10)))))</f>
        <v>1.476</v>
      </c>
      <c r="L39" s="192">
        <f>ROUND(+(D34+D39)/2*(C39-C34),3)</f>
        <v>3.2000000000000001E-2</v>
      </c>
      <c r="M39" s="192">
        <f t="shared" ref="M39" si="19">ROUND(+K39*L39,4)</f>
        <v>4.7199999999999999E-2</v>
      </c>
      <c r="N39" s="195">
        <f t="shared" ref="N39" si="20">ROUND(+M39/$M$78*100,2)</f>
        <v>12.39</v>
      </c>
      <c r="O39" s="196"/>
      <c r="P39" s="197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3"/>
      <c r="C40" s="193"/>
      <c r="D40" s="193"/>
      <c r="E40" s="193"/>
      <c r="F40" s="66" t="s">
        <v>80</v>
      </c>
      <c r="G40" s="67" t="str">
        <f t="shared" ref="G40" si="21">IF(E39&lt;0.125,"NA",IF(0.125&lt;=E39,(0.2*E39)))</f>
        <v>NA</v>
      </c>
      <c r="H40" s="68"/>
      <c r="I40" s="69"/>
      <c r="J40" s="70"/>
      <c r="K40" s="193"/>
      <c r="L40" s="193"/>
      <c r="M40" s="193"/>
      <c r="N40" s="193"/>
      <c r="O40" s="193"/>
      <c r="P40" s="198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3"/>
      <c r="C41" s="193"/>
      <c r="D41" s="193"/>
      <c r="E41" s="193"/>
      <c r="F41" s="66" t="s">
        <v>81</v>
      </c>
      <c r="G41" s="67">
        <f t="shared" ref="G41" si="22">+E39*0.4</f>
        <v>0.03</v>
      </c>
      <c r="H41" s="68"/>
      <c r="I41" s="69"/>
      <c r="J41" s="70">
        <v>1.476</v>
      </c>
      <c r="K41" s="193"/>
      <c r="L41" s="193"/>
      <c r="M41" s="193"/>
      <c r="N41" s="193"/>
      <c r="O41" s="193"/>
      <c r="P41" s="198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3"/>
      <c r="C42" s="193"/>
      <c r="D42" s="193"/>
      <c r="E42" s="193"/>
      <c r="F42" s="66" t="s">
        <v>82</v>
      </c>
      <c r="G42" s="67" t="str">
        <f t="shared" ref="G42" si="23">IF(E39&lt;0.125,"NA",IF(0.125&lt;=E39,(0.8*E39)))</f>
        <v>NA</v>
      </c>
      <c r="H42" s="68"/>
      <c r="I42" s="69"/>
      <c r="J42" s="70"/>
      <c r="K42" s="193"/>
      <c r="L42" s="193"/>
      <c r="M42" s="193"/>
      <c r="N42" s="193"/>
      <c r="O42" s="193"/>
      <c r="P42" s="198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4"/>
      <c r="C43" s="194"/>
      <c r="D43" s="194"/>
      <c r="E43" s="194"/>
      <c r="F43" s="71" t="s">
        <v>83</v>
      </c>
      <c r="G43" s="72">
        <f t="shared" ref="G43" si="24">+E39</f>
        <v>7.4999999999999997E-2</v>
      </c>
      <c r="H43" s="73"/>
      <c r="I43" s="74"/>
      <c r="J43" s="75">
        <v>1.706</v>
      </c>
      <c r="K43" s="194"/>
      <c r="L43" s="194"/>
      <c r="M43" s="194"/>
      <c r="N43" s="194"/>
      <c r="O43" s="194"/>
      <c r="P43" s="199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2">
        <v>6</v>
      </c>
      <c r="C44" s="215">
        <f>+C39+$N$12</f>
        <v>3.06</v>
      </c>
      <c r="D44" s="192">
        <v>9.2999999999999999E-2</v>
      </c>
      <c r="E44" s="192">
        <v>6.7000000000000004E-2</v>
      </c>
      <c r="F44" s="61" t="s">
        <v>79</v>
      </c>
      <c r="G44" s="62">
        <v>0</v>
      </c>
      <c r="H44" s="63"/>
      <c r="I44" s="64"/>
      <c r="J44" s="65"/>
      <c r="K44" s="192">
        <f t="shared" ref="K44" si="25">+IF(E44&lt;=0.12,(J46),(IF(E44&lt;0.16,((J45+2*J46+J47)/4),IF(E44&gt;=0.16,((J44+3*J45+2*J46+3*J47+J48)/10)))))</f>
        <v>1.47</v>
      </c>
      <c r="L44" s="192">
        <f>ROUND(+(D39+D44)/2*(C44-C39),3)</f>
        <v>4.2999999999999997E-2</v>
      </c>
      <c r="M44" s="192">
        <f t="shared" ref="M44" si="26">ROUND(+K44*L44,4)</f>
        <v>6.3200000000000006E-2</v>
      </c>
      <c r="N44" s="195">
        <f t="shared" ref="N44" si="27">ROUND(+M44/$M$78*100,2)</f>
        <v>16.579999999999998</v>
      </c>
      <c r="O44" s="196"/>
      <c r="P44" s="197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3"/>
      <c r="C45" s="193"/>
      <c r="D45" s="193"/>
      <c r="E45" s="193"/>
      <c r="F45" s="66" t="s">
        <v>80</v>
      </c>
      <c r="G45" s="67" t="str">
        <f t="shared" ref="G45" si="28">IF(E44&lt;0.125,"NA",IF(0.125&lt;=E44,(0.2*E44)))</f>
        <v>NA</v>
      </c>
      <c r="H45" s="68"/>
      <c r="I45" s="69"/>
      <c r="J45" s="70"/>
      <c r="K45" s="193"/>
      <c r="L45" s="193"/>
      <c r="M45" s="193"/>
      <c r="N45" s="193"/>
      <c r="O45" s="193"/>
      <c r="P45" s="198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3"/>
      <c r="C46" s="193"/>
      <c r="D46" s="193"/>
      <c r="E46" s="193"/>
      <c r="F46" s="66" t="s">
        <v>81</v>
      </c>
      <c r="G46" s="67">
        <f t="shared" ref="G46" si="29">+E44*0.4</f>
        <v>2.6800000000000004E-2</v>
      </c>
      <c r="H46" s="68"/>
      <c r="I46" s="69"/>
      <c r="J46" s="70">
        <v>1.47</v>
      </c>
      <c r="K46" s="193"/>
      <c r="L46" s="193"/>
      <c r="M46" s="193"/>
      <c r="N46" s="193"/>
      <c r="O46" s="193"/>
      <c r="P46" s="198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3"/>
      <c r="C47" s="193"/>
      <c r="D47" s="193"/>
      <c r="E47" s="193"/>
      <c r="F47" s="66" t="s">
        <v>82</v>
      </c>
      <c r="G47" s="67" t="str">
        <f t="shared" ref="G47" si="30">IF(E44&lt;0.125,"NA",IF(0.125&lt;=E44,(0.8*E44)))</f>
        <v>NA</v>
      </c>
      <c r="H47" s="68"/>
      <c r="I47" s="69"/>
      <c r="J47" s="70"/>
      <c r="K47" s="193"/>
      <c r="L47" s="193"/>
      <c r="M47" s="193"/>
      <c r="N47" s="193"/>
      <c r="O47" s="193"/>
      <c r="P47" s="198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4"/>
      <c r="C48" s="194"/>
      <c r="D48" s="194"/>
      <c r="E48" s="194"/>
      <c r="F48" s="71" t="s">
        <v>83</v>
      </c>
      <c r="G48" s="72">
        <f t="shared" ref="G48" si="31">+E44</f>
        <v>6.7000000000000004E-2</v>
      </c>
      <c r="H48" s="73"/>
      <c r="I48" s="74"/>
      <c r="J48" s="75"/>
      <c r="K48" s="194"/>
      <c r="L48" s="194"/>
      <c r="M48" s="194"/>
      <c r="N48" s="194"/>
      <c r="O48" s="194"/>
      <c r="P48" s="199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2">
        <v>7</v>
      </c>
      <c r="C49" s="215">
        <f>+C44+$N$12</f>
        <v>3.56</v>
      </c>
      <c r="D49" s="192">
        <v>9.1999999999999998E-2</v>
      </c>
      <c r="E49" s="192">
        <v>0.108</v>
      </c>
      <c r="F49" s="61" t="s">
        <v>79</v>
      </c>
      <c r="G49" s="62">
        <v>0</v>
      </c>
      <c r="H49" s="63"/>
      <c r="I49" s="64"/>
      <c r="J49" s="65">
        <v>1.5660000000000001</v>
      </c>
      <c r="K49" s="192">
        <f t="shared" ref="K49" si="32">+IF(E49&lt;=0.12,(J51),(IF(E49&lt;0.16,((J50+2*J51+J52)/4),IF(E49&gt;=0.16,((J49+3*J50+2*J51+3*J52+J53)/10)))))</f>
        <v>1.6259999999999999</v>
      </c>
      <c r="L49" s="192">
        <f>ROUND(+(D44+D49)/2*(C49-C44),3)</f>
        <v>4.5999999999999999E-2</v>
      </c>
      <c r="M49" s="192">
        <f t="shared" ref="M49" si="33">ROUND(+K49*L49,4)</f>
        <v>7.4800000000000005E-2</v>
      </c>
      <c r="N49" s="195">
        <f t="shared" ref="N49" si="34">ROUND(+M49/$M$78*100,2)</f>
        <v>19.63</v>
      </c>
      <c r="O49" s="196"/>
      <c r="P49" s="197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3"/>
      <c r="C50" s="193"/>
      <c r="D50" s="193"/>
      <c r="E50" s="193"/>
      <c r="F50" s="66" t="s">
        <v>80</v>
      </c>
      <c r="G50" s="67" t="str">
        <f t="shared" ref="G50" si="35">IF(E49&lt;0.125,"NA",IF(0.125&lt;=E49,(0.2*E49)))</f>
        <v>NA</v>
      </c>
      <c r="H50" s="68"/>
      <c r="I50" s="69"/>
      <c r="J50" s="70"/>
      <c r="K50" s="193"/>
      <c r="L50" s="193"/>
      <c r="M50" s="193"/>
      <c r="N50" s="193"/>
      <c r="O50" s="193"/>
      <c r="P50" s="198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3"/>
      <c r="C51" s="193"/>
      <c r="D51" s="193"/>
      <c r="E51" s="193"/>
      <c r="F51" s="66" t="s">
        <v>81</v>
      </c>
      <c r="G51" s="67">
        <f t="shared" ref="G51" si="36">+E49*0.4</f>
        <v>4.3200000000000002E-2</v>
      </c>
      <c r="H51" s="68"/>
      <c r="I51" s="69"/>
      <c r="J51" s="70">
        <v>1.6259999999999999</v>
      </c>
      <c r="K51" s="193"/>
      <c r="L51" s="193"/>
      <c r="M51" s="193"/>
      <c r="N51" s="193"/>
      <c r="O51" s="193"/>
      <c r="P51" s="198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3"/>
      <c r="C52" s="193"/>
      <c r="D52" s="193"/>
      <c r="E52" s="193"/>
      <c r="F52" s="66" t="s">
        <v>82</v>
      </c>
      <c r="G52" s="67" t="str">
        <f t="shared" ref="G52" si="37">IF(E49&lt;0.125,"NA",IF(0.125&lt;=E49,(0.8*E49)))</f>
        <v>NA</v>
      </c>
      <c r="H52" s="68"/>
      <c r="I52" s="69"/>
      <c r="J52" s="70"/>
      <c r="K52" s="193"/>
      <c r="L52" s="193"/>
      <c r="M52" s="193"/>
      <c r="N52" s="193"/>
      <c r="O52" s="193"/>
      <c r="P52" s="198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4"/>
      <c r="C53" s="194"/>
      <c r="D53" s="194"/>
      <c r="E53" s="194"/>
      <c r="F53" s="71" t="s">
        <v>83</v>
      </c>
      <c r="G53" s="72">
        <f t="shared" ref="G53" si="38">+E49</f>
        <v>0.108</v>
      </c>
      <c r="H53" s="73"/>
      <c r="I53" s="74"/>
      <c r="J53" s="75">
        <v>1.7310000000000001</v>
      </c>
      <c r="K53" s="194"/>
      <c r="L53" s="194"/>
      <c r="M53" s="194"/>
      <c r="N53" s="194"/>
      <c r="O53" s="194"/>
      <c r="P53" s="199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2">
        <v>8</v>
      </c>
      <c r="C54" s="215">
        <f>+C49+0.41</f>
        <v>3.97</v>
      </c>
      <c r="D54" s="192">
        <v>0.11</v>
      </c>
      <c r="E54" s="192">
        <v>0.105</v>
      </c>
      <c r="F54" s="61" t="s">
        <v>79</v>
      </c>
      <c r="G54" s="62">
        <v>0</v>
      </c>
      <c r="H54" s="63"/>
      <c r="I54" s="64"/>
      <c r="J54" s="65">
        <v>1.4750000000000001</v>
      </c>
      <c r="K54" s="192">
        <f t="shared" ref="K54" si="39">+IF(E54&lt;=0.12,(J56),(IF(E54&lt;0.16,((J55+2*J56+J57)/4),IF(E54&gt;=0.16,((J54+3*J55+2*J56+3*J57+J58)/10)))))</f>
        <v>1.7589999999999999</v>
      </c>
      <c r="L54" s="192">
        <f>ROUND(+(D49+D54)/2*(C54-C49),3)</f>
        <v>4.1000000000000002E-2</v>
      </c>
      <c r="M54" s="192">
        <f t="shared" ref="M54" si="40">ROUND(+K54*L54,4)</f>
        <v>7.2099999999999997E-2</v>
      </c>
      <c r="N54" s="195">
        <f t="shared" ref="N54" si="41">ROUND(+M54/$M$78*100,2)</f>
        <v>18.920000000000002</v>
      </c>
      <c r="O54" s="196"/>
      <c r="P54" s="197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3"/>
      <c r="C55" s="193"/>
      <c r="D55" s="193"/>
      <c r="E55" s="193"/>
      <c r="F55" s="66" t="s">
        <v>80</v>
      </c>
      <c r="G55" s="67" t="str">
        <f t="shared" ref="G55" si="42">IF(E54&lt;0.125,"NA",IF(0.125&lt;=E54,(0.2*E54)))</f>
        <v>NA</v>
      </c>
      <c r="H55" s="68"/>
      <c r="I55" s="69"/>
      <c r="J55" s="70"/>
      <c r="K55" s="193"/>
      <c r="L55" s="193"/>
      <c r="M55" s="193"/>
      <c r="N55" s="193"/>
      <c r="O55" s="193"/>
      <c r="P55" s="198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3"/>
      <c r="C56" s="193"/>
      <c r="D56" s="193"/>
      <c r="E56" s="193"/>
      <c r="F56" s="66" t="s">
        <v>81</v>
      </c>
      <c r="G56" s="67">
        <f t="shared" ref="G56" si="43">+E54*0.4</f>
        <v>4.2000000000000003E-2</v>
      </c>
      <c r="H56" s="68"/>
      <c r="I56" s="69"/>
      <c r="J56" s="70">
        <v>1.7589999999999999</v>
      </c>
      <c r="K56" s="193"/>
      <c r="L56" s="193"/>
      <c r="M56" s="193"/>
      <c r="N56" s="193"/>
      <c r="O56" s="193"/>
      <c r="P56" s="198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3"/>
      <c r="C57" s="193"/>
      <c r="D57" s="193"/>
      <c r="E57" s="193"/>
      <c r="F57" s="66" t="s">
        <v>82</v>
      </c>
      <c r="G57" s="67" t="str">
        <f t="shared" ref="G57" si="44">IF(E54&lt;0.125,"NA",IF(0.125&lt;=E54,(0.8*E54)))</f>
        <v>NA</v>
      </c>
      <c r="H57" s="68"/>
      <c r="I57" s="69"/>
      <c r="J57" s="70"/>
      <c r="K57" s="193"/>
      <c r="L57" s="193"/>
      <c r="M57" s="193"/>
      <c r="N57" s="193"/>
      <c r="O57" s="193"/>
      <c r="P57" s="198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4"/>
      <c r="C58" s="194"/>
      <c r="D58" s="194"/>
      <c r="E58" s="194"/>
      <c r="F58" s="71" t="s">
        <v>83</v>
      </c>
      <c r="G58" s="72">
        <f t="shared" ref="G58" si="45">+E54</f>
        <v>0.105</v>
      </c>
      <c r="H58" s="73"/>
      <c r="I58" s="74"/>
      <c r="J58" s="75">
        <v>1.512</v>
      </c>
      <c r="K58" s="194"/>
      <c r="L58" s="194"/>
      <c r="M58" s="194"/>
      <c r="N58" s="194"/>
      <c r="O58" s="194"/>
      <c r="P58" s="199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3" customFormat="1" ht="14.1" customHeight="1" x14ac:dyDescent="0.2">
      <c r="B59" s="200" t="s">
        <v>29</v>
      </c>
      <c r="C59" s="203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5"/>
    </row>
    <row r="60" spans="1:26" s="3" customFormat="1" ht="14.1" customHeight="1" x14ac:dyDescent="0.2">
      <c r="B60" s="201"/>
      <c r="C60" s="206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8"/>
    </row>
    <row r="61" spans="1:26" s="3" customFormat="1" ht="14.1" customHeight="1" x14ac:dyDescent="0.2">
      <c r="B61" s="201"/>
      <c r="C61" s="206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8"/>
    </row>
    <row r="62" spans="1:26" s="3" customFormat="1" ht="14.1" customHeight="1" x14ac:dyDescent="0.2">
      <c r="B62" s="201"/>
      <c r="C62" s="206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8"/>
    </row>
    <row r="63" spans="1:26" s="3" customFormat="1" ht="14.1" customHeight="1" x14ac:dyDescent="0.2">
      <c r="B63" s="201"/>
      <c r="C63" s="206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8"/>
    </row>
    <row r="64" spans="1:26" s="3" customFormat="1" ht="14.1" customHeight="1" thickBot="1" x14ac:dyDescent="0.25">
      <c r="B64" s="202"/>
      <c r="C64" s="209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</row>
    <row r="65" spans="1:26" s="3" customFormat="1" ht="28.5" customHeight="1" thickBot="1" x14ac:dyDescent="0.25">
      <c r="A65" s="76"/>
      <c r="B65" s="77" t="s">
        <v>84</v>
      </c>
      <c r="C65" s="179" t="s">
        <v>85</v>
      </c>
      <c r="D65" s="179"/>
      <c r="E65" s="179"/>
      <c r="F65" s="179"/>
      <c r="G65" s="179"/>
      <c r="H65" s="180"/>
      <c r="I65" s="181"/>
      <c r="J65" s="77" t="s">
        <v>86</v>
      </c>
      <c r="K65" s="179" t="s">
        <v>87</v>
      </c>
      <c r="L65" s="179"/>
      <c r="M65" s="179"/>
      <c r="N65" s="179"/>
      <c r="O65" s="179"/>
      <c r="P65" s="180"/>
    </row>
    <row r="66" spans="1:26" s="3" customFormat="1" ht="28.5" customHeight="1" thickBot="1" x14ac:dyDescent="0.25">
      <c r="B66" s="78" t="s">
        <v>88</v>
      </c>
      <c r="C66" s="183" t="s">
        <v>89</v>
      </c>
      <c r="D66" s="183"/>
      <c r="E66" s="183"/>
      <c r="F66" s="183"/>
      <c r="G66" s="183"/>
      <c r="H66" s="184"/>
      <c r="I66" s="182"/>
      <c r="J66" s="78" t="s">
        <v>90</v>
      </c>
      <c r="K66" s="183" t="s">
        <v>91</v>
      </c>
      <c r="L66" s="183"/>
      <c r="M66" s="183"/>
      <c r="N66" s="183"/>
      <c r="O66" s="183"/>
      <c r="P66" s="184"/>
    </row>
    <row r="67" spans="1:26" s="19" customFormat="1" ht="13.5" customHeight="1" x14ac:dyDescent="0.25">
      <c r="A67" s="79"/>
      <c r="B67" s="185"/>
      <c r="C67" s="188"/>
      <c r="D67" s="190"/>
      <c r="E67" s="190"/>
      <c r="F67" s="80"/>
      <c r="G67" s="80"/>
      <c r="H67" s="81"/>
      <c r="I67" s="82"/>
      <c r="J67" s="83"/>
      <c r="K67" s="191"/>
      <c r="L67" s="170"/>
      <c r="M67" s="173"/>
      <c r="N67" s="170"/>
      <c r="O67" s="170"/>
      <c r="P67" s="17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s="19" customFormat="1" ht="13.5" customHeight="1" x14ac:dyDescent="0.25">
      <c r="A68" s="79"/>
      <c r="B68" s="186"/>
      <c r="C68" s="171"/>
      <c r="D68" s="171"/>
      <c r="E68" s="171"/>
      <c r="F68" s="85"/>
      <c r="G68" s="86"/>
      <c r="H68" s="87"/>
      <c r="I68" s="88"/>
      <c r="J68" s="89"/>
      <c r="K68" s="171"/>
      <c r="L68" s="171"/>
      <c r="M68" s="171"/>
      <c r="N68" s="171"/>
      <c r="O68" s="171"/>
      <c r="P68" s="175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s="19" customFormat="1" ht="13.5" customHeight="1" x14ac:dyDescent="0.25">
      <c r="A69" s="79"/>
      <c r="B69" s="186"/>
      <c r="C69" s="171"/>
      <c r="D69" s="171"/>
      <c r="E69" s="171"/>
      <c r="F69" s="85"/>
      <c r="G69" s="86"/>
      <c r="H69" s="87"/>
      <c r="I69" s="88"/>
      <c r="J69" s="89"/>
      <c r="K69" s="171"/>
      <c r="L69" s="171"/>
      <c r="M69" s="171"/>
      <c r="N69" s="171"/>
      <c r="O69" s="171"/>
      <c r="P69" s="175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s="19" customFormat="1" ht="13.5" customHeight="1" x14ac:dyDescent="0.25">
      <c r="A70" s="79"/>
      <c r="B70" s="186"/>
      <c r="C70" s="171"/>
      <c r="D70" s="171"/>
      <c r="E70" s="171"/>
      <c r="F70" s="85"/>
      <c r="G70" s="86"/>
      <c r="H70" s="87"/>
      <c r="I70" s="88"/>
      <c r="J70" s="89"/>
      <c r="K70" s="171"/>
      <c r="L70" s="171"/>
      <c r="M70" s="171"/>
      <c r="N70" s="171"/>
      <c r="O70" s="171"/>
      <c r="P70" s="175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s="19" customFormat="1" ht="13.5" customHeight="1" x14ac:dyDescent="0.25">
      <c r="A71" s="79"/>
      <c r="B71" s="186"/>
      <c r="C71" s="189"/>
      <c r="D71" s="189"/>
      <c r="E71" s="171"/>
      <c r="F71" s="85"/>
      <c r="G71" s="86"/>
      <c r="H71" s="87"/>
      <c r="I71" s="88"/>
      <c r="J71" s="89"/>
      <c r="K71" s="171"/>
      <c r="L71" s="171"/>
      <c r="M71" s="171"/>
      <c r="N71" s="171"/>
      <c r="O71" s="171"/>
      <c r="P71" s="175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s="19" customFormat="1" ht="13.5" customHeight="1" x14ac:dyDescent="0.25">
      <c r="A72" s="79"/>
      <c r="B72" s="186"/>
      <c r="C72" s="177"/>
      <c r="D72" s="178"/>
      <c r="E72" s="171"/>
      <c r="F72" s="85"/>
      <c r="G72" s="86"/>
      <c r="H72" s="87"/>
      <c r="I72" s="88"/>
      <c r="J72" s="89"/>
      <c r="K72" s="171"/>
      <c r="L72" s="171"/>
      <c r="M72" s="171"/>
      <c r="N72" s="171"/>
      <c r="O72" s="171"/>
      <c r="P72" s="175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s="19" customFormat="1" ht="13.5" customHeight="1" x14ac:dyDescent="0.25">
      <c r="A73" s="79"/>
      <c r="B73" s="186"/>
      <c r="C73" s="171"/>
      <c r="D73" s="171"/>
      <c r="E73" s="171"/>
      <c r="F73" s="85"/>
      <c r="G73" s="86"/>
      <c r="H73" s="87"/>
      <c r="I73" s="88"/>
      <c r="J73" s="89"/>
      <c r="K73" s="171"/>
      <c r="L73" s="171"/>
      <c r="M73" s="171"/>
      <c r="N73" s="171"/>
      <c r="O73" s="171"/>
      <c r="P73" s="175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s="19" customFormat="1" ht="13.5" customHeight="1" x14ac:dyDescent="0.25">
      <c r="A74" s="79"/>
      <c r="B74" s="186"/>
      <c r="C74" s="171"/>
      <c r="D74" s="171"/>
      <c r="E74" s="171"/>
      <c r="F74" s="85"/>
      <c r="G74" s="86"/>
      <c r="H74" s="87"/>
      <c r="I74" s="88"/>
      <c r="J74" s="89"/>
      <c r="K74" s="171"/>
      <c r="L74" s="171"/>
      <c r="M74" s="171"/>
      <c r="N74" s="171"/>
      <c r="O74" s="171"/>
      <c r="P74" s="175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s="19" customFormat="1" ht="13.5" customHeight="1" x14ac:dyDescent="0.25">
      <c r="A75" s="79"/>
      <c r="B75" s="186"/>
      <c r="C75" s="171"/>
      <c r="D75" s="171"/>
      <c r="E75" s="171"/>
      <c r="F75" s="85"/>
      <c r="G75" s="86"/>
      <c r="H75" s="87"/>
      <c r="I75" s="88"/>
      <c r="J75" s="89"/>
      <c r="K75" s="171"/>
      <c r="L75" s="171"/>
      <c r="M75" s="171"/>
      <c r="N75" s="171"/>
      <c r="O75" s="171"/>
      <c r="P75" s="175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s="19" customFormat="1" ht="13.5" customHeight="1" x14ac:dyDescent="0.25">
      <c r="A76" s="79"/>
      <c r="B76" s="186"/>
      <c r="C76" s="171"/>
      <c r="D76" s="171"/>
      <c r="E76" s="171"/>
      <c r="F76" s="85"/>
      <c r="G76" s="86"/>
      <c r="H76" s="87"/>
      <c r="I76" s="88"/>
      <c r="J76" s="89"/>
      <c r="K76" s="171"/>
      <c r="L76" s="171"/>
      <c r="M76" s="171"/>
      <c r="N76" s="171"/>
      <c r="O76" s="171"/>
      <c r="P76" s="175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s="19" customFormat="1" ht="15.75" thickBot="1" x14ac:dyDescent="0.3">
      <c r="A77" s="79"/>
      <c r="B77" s="187"/>
      <c r="C77" s="172"/>
      <c r="D77" s="172"/>
      <c r="E77" s="172"/>
      <c r="F77" s="90"/>
      <c r="G77" s="90"/>
      <c r="H77" s="91"/>
      <c r="I77" s="92"/>
      <c r="J77" s="93"/>
      <c r="K77" s="172"/>
      <c r="L77" s="172"/>
      <c r="M77" s="172"/>
      <c r="N77" s="172"/>
      <c r="O77" s="172"/>
      <c r="P77" s="176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s="3" customFormat="1" ht="12.75" x14ac:dyDescent="0.2">
      <c r="A78" s="11"/>
      <c r="B78" s="158" t="s">
        <v>32</v>
      </c>
      <c r="C78" s="158"/>
      <c r="D78" s="158"/>
      <c r="E78" s="158"/>
      <c r="F78" s="158"/>
      <c r="G78" s="158"/>
      <c r="H78" s="158"/>
      <c r="I78" s="158"/>
      <c r="J78" s="158"/>
      <c r="K78" s="12">
        <f>ROUND(+M78/L78,3)</f>
        <v>1.444</v>
      </c>
      <c r="L78" s="16">
        <f>SUM(L19:L77)</f>
        <v>0.26399999999999996</v>
      </c>
      <c r="M78" s="15">
        <f>SUM(M19:M77)</f>
        <v>0.38110000000000005</v>
      </c>
      <c r="N78" s="13">
        <f>ROUND(SUM(N19:N77),0)</f>
        <v>100</v>
      </c>
      <c r="O78" s="160" t="s">
        <v>33</v>
      </c>
      <c r="P78" s="162"/>
    </row>
    <row r="79" spans="1:26" s="3" customFormat="1" ht="15" customHeight="1" thickBot="1" x14ac:dyDescent="0.25">
      <c r="A79" s="11"/>
      <c r="B79" s="159"/>
      <c r="C79" s="159"/>
      <c r="D79" s="159"/>
      <c r="E79" s="159"/>
      <c r="F79" s="159"/>
      <c r="G79" s="159"/>
      <c r="H79" s="159"/>
      <c r="I79" s="159"/>
      <c r="J79" s="159"/>
      <c r="K79" s="14" t="s">
        <v>34</v>
      </c>
      <c r="L79" s="14" t="s">
        <v>50</v>
      </c>
      <c r="M79" s="14" t="s">
        <v>51</v>
      </c>
      <c r="N79" s="14" t="s">
        <v>35</v>
      </c>
      <c r="O79" s="161"/>
      <c r="P79" s="163"/>
    </row>
    <row r="80" spans="1:26" ht="15" customHeight="1" thickBot="1" x14ac:dyDescent="0.3">
      <c r="A80" s="5"/>
      <c r="B80" s="164" t="s">
        <v>100</v>
      </c>
      <c r="C80" s="165"/>
      <c r="D80" s="165"/>
      <c r="E80" s="165"/>
      <c r="F80" s="166"/>
      <c r="G80" s="164" t="s">
        <v>101</v>
      </c>
      <c r="H80" s="165"/>
      <c r="I80" s="165"/>
      <c r="J80" s="165"/>
      <c r="K80" s="166"/>
      <c r="L80" s="167" t="s">
        <v>53</v>
      </c>
      <c r="M80" s="168"/>
      <c r="N80" s="168"/>
      <c r="O80" s="168"/>
      <c r="P80" s="169"/>
    </row>
    <row r="81" spans="1:16" ht="15" customHeight="1" x14ac:dyDescent="0.25">
      <c r="A81" s="5"/>
      <c r="B81" s="128"/>
      <c r="C81" s="129"/>
      <c r="D81" s="129"/>
      <c r="E81" s="129"/>
      <c r="F81" s="130"/>
      <c r="G81" s="128"/>
      <c r="H81" s="129"/>
      <c r="I81" s="129"/>
      <c r="J81" s="129"/>
      <c r="K81" s="130"/>
      <c r="L81" s="137" t="s">
        <v>102</v>
      </c>
      <c r="M81" s="138"/>
      <c r="N81" s="138"/>
      <c r="O81" s="139">
        <f>+AVERAGE(E18:E58)</f>
        <v>7.3999999999999996E-2</v>
      </c>
      <c r="P81" s="140"/>
    </row>
    <row r="82" spans="1:16" ht="15" customHeight="1" thickBot="1" x14ac:dyDescent="0.3">
      <c r="A82" s="5"/>
      <c r="B82" s="131"/>
      <c r="C82" s="132"/>
      <c r="D82" s="132"/>
      <c r="E82" s="132"/>
      <c r="F82" s="133"/>
      <c r="G82" s="131"/>
      <c r="H82" s="132"/>
      <c r="I82" s="132"/>
      <c r="J82" s="132"/>
      <c r="K82" s="133"/>
      <c r="L82" s="141" t="s">
        <v>103</v>
      </c>
      <c r="M82" s="142"/>
      <c r="N82" s="142"/>
      <c r="O82" s="143">
        <f>+MAX(E18:E58)</f>
        <v>0.108</v>
      </c>
      <c r="P82" s="144"/>
    </row>
    <row r="83" spans="1:16" ht="18.600000000000001" customHeight="1" x14ac:dyDescent="0.25">
      <c r="A83" s="6"/>
      <c r="B83" s="131"/>
      <c r="C83" s="132"/>
      <c r="D83" s="132"/>
      <c r="E83" s="132"/>
      <c r="F83" s="133"/>
      <c r="G83" s="131"/>
      <c r="H83" s="132"/>
      <c r="I83" s="132"/>
      <c r="J83" s="132"/>
      <c r="K83" s="133"/>
      <c r="L83" s="145" t="s">
        <v>115</v>
      </c>
      <c r="M83" s="146"/>
      <c r="N83" s="146"/>
      <c r="O83" s="146"/>
      <c r="P83" s="147"/>
    </row>
    <row r="84" spans="1:16" ht="63" customHeight="1" x14ac:dyDescent="0.25">
      <c r="A84" s="10"/>
      <c r="B84" s="131"/>
      <c r="C84" s="132"/>
      <c r="D84" s="132"/>
      <c r="E84" s="132"/>
      <c r="F84" s="133"/>
      <c r="G84" s="131"/>
      <c r="H84" s="132"/>
      <c r="I84" s="132"/>
      <c r="J84" s="132"/>
      <c r="K84" s="133"/>
      <c r="L84" s="148"/>
      <c r="M84" s="149"/>
      <c r="N84" s="149"/>
      <c r="O84" s="149"/>
      <c r="P84" s="150"/>
    </row>
    <row r="85" spans="1:16" ht="15" customHeight="1" thickBot="1" x14ac:dyDescent="0.3">
      <c r="A85" s="5"/>
      <c r="B85" s="131"/>
      <c r="C85" s="132"/>
      <c r="D85" s="132"/>
      <c r="E85" s="132"/>
      <c r="F85" s="133"/>
      <c r="G85" s="131"/>
      <c r="H85" s="132"/>
      <c r="I85" s="132"/>
      <c r="J85" s="132"/>
      <c r="K85" s="133"/>
      <c r="L85" s="151"/>
      <c r="M85" s="152"/>
      <c r="N85" s="152"/>
      <c r="O85" s="152"/>
      <c r="P85" s="153"/>
    </row>
    <row r="86" spans="1:16" ht="22.5" customHeight="1" thickBot="1" x14ac:dyDescent="0.3">
      <c r="A86" s="5"/>
      <c r="B86" s="131"/>
      <c r="C86" s="132"/>
      <c r="D86" s="132"/>
      <c r="E86" s="132"/>
      <c r="F86" s="133"/>
      <c r="G86" s="131"/>
      <c r="H86" s="132"/>
      <c r="I86" s="132"/>
      <c r="J86" s="132"/>
      <c r="K86" s="133"/>
      <c r="L86" s="154" t="s">
        <v>36</v>
      </c>
      <c r="M86" s="155"/>
      <c r="N86" s="155"/>
      <c r="O86" s="155"/>
      <c r="P86" s="95">
        <v>5.68</v>
      </c>
    </row>
    <row r="87" spans="1:16" ht="32.25" customHeight="1" thickBot="1" x14ac:dyDescent="0.3">
      <c r="A87" s="5"/>
      <c r="B87" s="134"/>
      <c r="C87" s="135"/>
      <c r="D87" s="135"/>
      <c r="E87" s="135"/>
      <c r="F87" s="136"/>
      <c r="G87" s="134"/>
      <c r="H87" s="135"/>
      <c r="I87" s="135"/>
      <c r="J87" s="135"/>
      <c r="K87" s="136"/>
      <c r="L87" s="156" t="s">
        <v>52</v>
      </c>
      <c r="M87" s="157"/>
      <c r="N87" s="157"/>
      <c r="O87" s="157"/>
      <c r="P87" s="95">
        <v>0.28839999999999999</v>
      </c>
    </row>
    <row r="88" spans="1:16" ht="23.45" customHeight="1" thickBot="1" x14ac:dyDescent="0.3">
      <c r="A88" s="7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1:16" ht="15.75" thickBot="1" x14ac:dyDescent="0.3">
      <c r="A89" s="115" t="s">
        <v>37</v>
      </c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7"/>
    </row>
    <row r="90" spans="1:16" ht="159" customHeight="1" thickBot="1" x14ac:dyDescent="0.3">
      <c r="A90" s="4"/>
      <c r="B90" s="118"/>
      <c r="C90" s="119"/>
      <c r="D90" s="119"/>
      <c r="E90" s="119"/>
      <c r="F90" s="120"/>
      <c r="G90" s="118"/>
      <c r="H90" s="119"/>
      <c r="I90" s="119"/>
      <c r="J90" s="119"/>
      <c r="K90" s="120"/>
      <c r="L90" s="118"/>
      <c r="M90" s="119"/>
      <c r="N90" s="119"/>
      <c r="O90" s="119"/>
      <c r="P90" s="121"/>
    </row>
    <row r="91" spans="1:16" ht="21.75" customHeight="1" thickBot="1" x14ac:dyDescent="0.3">
      <c r="A91" s="4"/>
      <c r="B91" s="118" t="s">
        <v>108</v>
      </c>
      <c r="C91" s="119"/>
      <c r="D91" s="119"/>
      <c r="E91" s="119"/>
      <c r="F91" s="120"/>
      <c r="G91" s="118" t="s">
        <v>112</v>
      </c>
      <c r="H91" s="119"/>
      <c r="I91" s="119"/>
      <c r="J91" s="119"/>
      <c r="K91" s="120"/>
      <c r="L91" s="118" t="s">
        <v>104</v>
      </c>
      <c r="M91" s="119"/>
      <c r="N91" s="119"/>
      <c r="O91" s="119"/>
      <c r="P91" s="121"/>
    </row>
    <row r="92" spans="1:16" s="9" customFormat="1" ht="16.899999999999999" customHeight="1" thickBot="1" x14ac:dyDescent="0.3">
      <c r="A92" s="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10"/>
    </row>
    <row r="93" spans="1:16" s="3" customFormat="1" ht="15.75" customHeight="1" thickBot="1" x14ac:dyDescent="0.25">
      <c r="A93" s="111" t="s">
        <v>38</v>
      </c>
      <c r="B93" s="112"/>
      <c r="C93" s="112"/>
      <c r="D93" s="112" t="s">
        <v>113</v>
      </c>
      <c r="E93" s="112"/>
      <c r="F93" s="112"/>
      <c r="G93" s="112"/>
      <c r="H93" s="112"/>
      <c r="I93" s="112"/>
      <c r="J93" s="112" t="s">
        <v>39</v>
      </c>
      <c r="K93" s="112"/>
      <c r="L93" s="112"/>
      <c r="M93" s="112"/>
      <c r="N93" s="112"/>
      <c r="O93" s="112"/>
      <c r="P93" s="113"/>
    </row>
  </sheetData>
  <mergeCells count="18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54:M58"/>
    <mergeCell ref="N54:N58"/>
    <mergeCell ref="O54:O58"/>
    <mergeCell ref="P54:P58"/>
    <mergeCell ref="B59:B64"/>
    <mergeCell ref="C59:P64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C65:H65"/>
    <mergeCell ref="I65:I66"/>
    <mergeCell ref="K65:P65"/>
    <mergeCell ref="C66:H66"/>
    <mergeCell ref="K66:P66"/>
    <mergeCell ref="B67:B77"/>
    <mergeCell ref="C67:C71"/>
    <mergeCell ref="D67:D71"/>
    <mergeCell ref="E67:E77"/>
    <mergeCell ref="K67:K77"/>
    <mergeCell ref="B78:J79"/>
    <mergeCell ref="O78:O79"/>
    <mergeCell ref="P78:P79"/>
    <mergeCell ref="B80:F80"/>
    <mergeCell ref="G80:K80"/>
    <mergeCell ref="L80:P80"/>
    <mergeCell ref="L67:L77"/>
    <mergeCell ref="M67:M77"/>
    <mergeCell ref="N67:N77"/>
    <mergeCell ref="O67:O77"/>
    <mergeCell ref="P67:P77"/>
    <mergeCell ref="C72:C77"/>
    <mergeCell ref="D72:D77"/>
    <mergeCell ref="B81:F87"/>
    <mergeCell ref="G81:K87"/>
    <mergeCell ref="L81:N81"/>
    <mergeCell ref="O81:P81"/>
    <mergeCell ref="L82:N82"/>
    <mergeCell ref="O82:P82"/>
    <mergeCell ref="L83:P85"/>
    <mergeCell ref="L86:O86"/>
    <mergeCell ref="L87:O87"/>
    <mergeCell ref="B92:P92"/>
    <mergeCell ref="A93:C93"/>
    <mergeCell ref="D93:I93"/>
    <mergeCell ref="J93:K93"/>
    <mergeCell ref="L93:P93"/>
    <mergeCell ref="B88:P88"/>
    <mergeCell ref="A89:P89"/>
    <mergeCell ref="B90:F90"/>
    <mergeCell ref="G90:K90"/>
    <mergeCell ref="L90:P90"/>
    <mergeCell ref="B91:F91"/>
    <mergeCell ref="G91:K91"/>
    <mergeCell ref="L91:P9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3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120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6.2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8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9">
        <v>43109</v>
      </c>
      <c r="D5" s="300"/>
      <c r="E5" s="22" t="s">
        <v>1</v>
      </c>
      <c r="F5" s="23">
        <v>3</v>
      </c>
      <c r="G5" s="24" t="s">
        <v>2</v>
      </c>
      <c r="H5" s="301" t="s">
        <v>121</v>
      </c>
      <c r="I5" s="302"/>
      <c r="J5" s="302"/>
      <c r="K5" s="302"/>
      <c r="L5" s="302"/>
      <c r="M5" s="302"/>
      <c r="N5" s="302"/>
      <c r="O5" s="302"/>
      <c r="P5" s="303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2" t="s">
        <v>3</v>
      </c>
      <c r="C6" s="283"/>
      <c r="D6" s="284" t="s">
        <v>109</v>
      </c>
      <c r="E6" s="285"/>
      <c r="F6" s="285"/>
      <c r="G6" s="285"/>
      <c r="H6" s="285"/>
      <c r="I6" s="286"/>
      <c r="J6" s="28" t="s">
        <v>4</v>
      </c>
      <c r="K6" s="287" t="s">
        <v>110</v>
      </c>
      <c r="L6" s="286"/>
      <c r="M6" s="287" t="s">
        <v>111</v>
      </c>
      <c r="N6" s="288"/>
      <c r="O6" s="29" t="s">
        <v>54</v>
      </c>
      <c r="P6" s="30">
        <v>1942</v>
      </c>
    </row>
    <row r="7" spans="1:26" s="26" customFormat="1" ht="21.75" customHeight="1" x14ac:dyDescent="0.25">
      <c r="B7" s="289" t="s">
        <v>55</v>
      </c>
      <c r="C7" s="290" t="s">
        <v>56</v>
      </c>
      <c r="D7" s="260"/>
      <c r="E7" s="32"/>
      <c r="F7" s="291" t="s">
        <v>57</v>
      </c>
      <c r="G7" s="292"/>
      <c r="H7" s="292"/>
      <c r="I7" s="292"/>
      <c r="J7" s="293" t="s">
        <v>58</v>
      </c>
      <c r="K7" s="294"/>
      <c r="L7" s="294"/>
      <c r="M7" s="295"/>
      <c r="N7" s="296" t="s">
        <v>59</v>
      </c>
      <c r="O7" s="297"/>
      <c r="P7" s="33" t="s">
        <v>60</v>
      </c>
    </row>
    <row r="8" spans="1:26" s="26" customFormat="1" ht="21.75" customHeight="1" thickBot="1" x14ac:dyDescent="0.3">
      <c r="B8" s="234"/>
      <c r="C8" s="251" t="s">
        <v>61</v>
      </c>
      <c r="D8" s="250"/>
      <c r="E8" s="34" t="s">
        <v>5</v>
      </c>
      <c r="F8" s="261" t="s">
        <v>6</v>
      </c>
      <c r="G8" s="262"/>
      <c r="H8" s="262"/>
      <c r="I8" s="262"/>
      <c r="J8" s="263"/>
      <c r="K8" s="264"/>
      <c r="L8" s="264"/>
      <c r="M8" s="265"/>
      <c r="N8" s="266"/>
      <c r="O8" s="267"/>
      <c r="P8" s="35"/>
    </row>
    <row r="9" spans="1:26" s="26" customFormat="1" ht="21.75" customHeight="1" x14ac:dyDescent="0.25">
      <c r="B9" s="268" t="s">
        <v>7</v>
      </c>
      <c r="C9" s="271" t="s">
        <v>62</v>
      </c>
      <c r="D9" s="272" t="s">
        <v>63</v>
      </c>
      <c r="E9" s="257"/>
      <c r="F9" s="36"/>
      <c r="G9" s="273" t="s">
        <v>8</v>
      </c>
      <c r="H9" s="274" t="s">
        <v>9</v>
      </c>
      <c r="I9" s="260"/>
      <c r="J9" s="37"/>
      <c r="K9" s="271" t="s">
        <v>64</v>
      </c>
      <c r="L9" s="275" t="s">
        <v>116</v>
      </c>
      <c r="M9" s="276"/>
      <c r="N9" s="277"/>
      <c r="O9" s="277"/>
      <c r="P9" s="278"/>
    </row>
    <row r="10" spans="1:26" s="26" customFormat="1" ht="21.75" customHeight="1" thickBot="1" x14ac:dyDescent="0.3">
      <c r="B10" s="269"/>
      <c r="C10" s="214"/>
      <c r="D10" s="255" t="s">
        <v>65</v>
      </c>
      <c r="E10" s="250"/>
      <c r="F10" s="38" t="s">
        <v>5</v>
      </c>
      <c r="G10" s="214"/>
      <c r="H10" s="255" t="s">
        <v>10</v>
      </c>
      <c r="I10" s="250"/>
      <c r="J10" s="39" t="s">
        <v>5</v>
      </c>
      <c r="K10" s="214"/>
      <c r="L10" s="279"/>
      <c r="M10" s="280"/>
      <c r="N10" s="280"/>
      <c r="O10" s="280"/>
      <c r="P10" s="281"/>
    </row>
    <row r="11" spans="1:26" s="26" customFormat="1" ht="21.75" customHeight="1" x14ac:dyDescent="0.25">
      <c r="A11" s="20"/>
      <c r="B11" s="269"/>
      <c r="C11" s="256" t="s">
        <v>11</v>
      </c>
      <c r="D11" s="257"/>
      <c r="E11" s="40">
        <v>0.39583333333333331</v>
      </c>
      <c r="F11" s="258" t="s">
        <v>12</v>
      </c>
      <c r="G11" s="257"/>
      <c r="H11" s="41">
        <v>1.51</v>
      </c>
      <c r="I11" s="259" t="s">
        <v>13</v>
      </c>
      <c r="J11" s="260"/>
      <c r="K11" s="41">
        <v>14</v>
      </c>
      <c r="L11" s="256" t="s">
        <v>14</v>
      </c>
      <c r="M11" s="257"/>
      <c r="N11" s="42">
        <v>3.91</v>
      </c>
      <c r="O11" s="247" t="s">
        <v>66</v>
      </c>
      <c r="P11" s="248"/>
    </row>
    <row r="12" spans="1:26" s="26" customFormat="1" ht="21.75" customHeight="1" thickBot="1" x14ac:dyDescent="0.3">
      <c r="A12" s="20"/>
      <c r="B12" s="270"/>
      <c r="C12" s="249" t="s">
        <v>15</v>
      </c>
      <c r="D12" s="250"/>
      <c r="E12" s="40">
        <v>0.4375</v>
      </c>
      <c r="F12" s="251" t="s">
        <v>16</v>
      </c>
      <c r="G12" s="250"/>
      <c r="H12" s="41">
        <v>1.51</v>
      </c>
      <c r="I12" s="252" t="s">
        <v>17</v>
      </c>
      <c r="J12" s="250"/>
      <c r="K12" s="40">
        <v>0.40277777777777773</v>
      </c>
      <c r="L12" s="249" t="s">
        <v>18</v>
      </c>
      <c r="M12" s="250"/>
      <c r="N12" s="43">
        <v>0.5</v>
      </c>
      <c r="O12" s="253">
        <v>0.06</v>
      </c>
      <c r="P12" s="254"/>
    </row>
    <row r="13" spans="1:26" s="26" customFormat="1" ht="21.75" customHeight="1" x14ac:dyDescent="0.25">
      <c r="A13" s="20"/>
      <c r="B13" s="232" t="s">
        <v>19</v>
      </c>
      <c r="C13" s="235" t="s">
        <v>67</v>
      </c>
      <c r="D13" s="236"/>
      <c r="E13" s="236"/>
      <c r="F13" s="237" t="s">
        <v>68</v>
      </c>
      <c r="G13" s="236"/>
      <c r="H13" s="236"/>
      <c r="I13" s="236"/>
      <c r="J13" s="237" t="s">
        <v>69</v>
      </c>
      <c r="K13" s="236"/>
      <c r="L13" s="236"/>
      <c r="M13" s="236"/>
      <c r="N13" s="238" t="s">
        <v>70</v>
      </c>
      <c r="O13" s="236"/>
      <c r="P13" s="239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3"/>
      <c r="C14" s="240" t="s">
        <v>71</v>
      </c>
      <c r="D14" s="241"/>
      <c r="E14" s="241"/>
      <c r="F14" s="242" t="s">
        <v>72</v>
      </c>
      <c r="G14" s="241"/>
      <c r="H14" s="241"/>
      <c r="I14" s="241"/>
      <c r="J14" s="243" t="s">
        <v>73</v>
      </c>
      <c r="K14" s="241"/>
      <c r="L14" s="241"/>
      <c r="M14" s="241"/>
      <c r="N14" s="244"/>
      <c r="O14" s="229"/>
      <c r="P14" s="24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4"/>
      <c r="C15" s="246" t="s">
        <v>74</v>
      </c>
      <c r="D15" s="216"/>
      <c r="E15" s="216"/>
      <c r="F15" s="216" t="s">
        <v>75</v>
      </c>
      <c r="G15" s="217"/>
      <c r="H15" s="217"/>
      <c r="I15" s="217"/>
      <c r="J15" s="216" t="s">
        <v>76</v>
      </c>
      <c r="K15" s="217"/>
      <c r="L15" s="217"/>
      <c r="M15" s="217"/>
      <c r="N15" s="218"/>
      <c r="O15" s="219"/>
      <c r="P15" s="220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1" t="s">
        <v>20</v>
      </c>
      <c r="C16" s="223" t="s">
        <v>21</v>
      </c>
      <c r="D16" s="223" t="s">
        <v>42</v>
      </c>
      <c r="E16" s="225" t="s">
        <v>22</v>
      </c>
      <c r="F16" s="226" t="s">
        <v>43</v>
      </c>
      <c r="G16" s="227"/>
      <c r="H16" s="223" t="s">
        <v>77</v>
      </c>
      <c r="I16" s="230" t="s">
        <v>78</v>
      </c>
      <c r="J16" s="94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2"/>
      <c r="C17" s="224"/>
      <c r="D17" s="224"/>
      <c r="E17" s="224"/>
      <c r="F17" s="228"/>
      <c r="G17" s="229"/>
      <c r="H17" s="224"/>
      <c r="I17" s="231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0.06</v>
      </c>
      <c r="D18" s="54">
        <v>0</v>
      </c>
      <c r="E18" s="55"/>
      <c r="F18" s="56"/>
      <c r="G18" s="97"/>
      <c r="H18" s="57"/>
      <c r="I18" s="58"/>
      <c r="J18" s="96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2">
        <v>1</v>
      </c>
      <c r="C19" s="215">
        <f>+C18+$N$12</f>
        <v>0.56000000000000005</v>
      </c>
      <c r="D19" s="192">
        <v>0.01</v>
      </c>
      <c r="E19" s="192">
        <v>0.02</v>
      </c>
      <c r="F19" s="61" t="s">
        <v>79</v>
      </c>
      <c r="G19" s="62">
        <v>0</v>
      </c>
      <c r="H19" s="63"/>
      <c r="I19" s="64"/>
      <c r="J19" s="65"/>
      <c r="K19" s="192">
        <f>+IF(E19&lt;=0.12,(J21),(IF(E19&lt;0.16,((J20+2*J21+J22)/4),IF(E19&gt;=0.16,((J19+3*J20+2*J21+3*J22+J23)/10)))))</f>
        <v>0</v>
      </c>
      <c r="L19" s="192">
        <f>ROUND(+(D18+D19)/2*(C19-C18),3)</f>
        <v>3.0000000000000001E-3</v>
      </c>
      <c r="M19" s="192">
        <f>ROUND(+K19*L19,4)</f>
        <v>0</v>
      </c>
      <c r="N19" s="195">
        <f>ROUND(+M19/$M$78*100,2)</f>
        <v>0</v>
      </c>
      <c r="O19" s="196"/>
      <c r="P19" s="197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3"/>
      <c r="C20" s="193"/>
      <c r="D20" s="193"/>
      <c r="E20" s="193"/>
      <c r="F20" s="66" t="s">
        <v>80</v>
      </c>
      <c r="G20" s="67" t="str">
        <f>IF(E19&lt;0.125,"NA",IF(0.125&lt;=E19,(0.2*E19)))</f>
        <v>NA</v>
      </c>
      <c r="H20" s="68"/>
      <c r="I20" s="69"/>
      <c r="J20" s="70"/>
      <c r="K20" s="193"/>
      <c r="L20" s="193"/>
      <c r="M20" s="193"/>
      <c r="N20" s="193"/>
      <c r="O20" s="193"/>
      <c r="P20" s="198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3"/>
      <c r="C21" s="193"/>
      <c r="D21" s="193"/>
      <c r="E21" s="193"/>
      <c r="F21" s="66" t="s">
        <v>81</v>
      </c>
      <c r="G21" s="67">
        <f>+E19*0.4</f>
        <v>8.0000000000000002E-3</v>
      </c>
      <c r="H21" s="68"/>
      <c r="I21" s="69"/>
      <c r="J21" s="70">
        <v>0</v>
      </c>
      <c r="K21" s="193"/>
      <c r="L21" s="193"/>
      <c r="M21" s="193"/>
      <c r="N21" s="193"/>
      <c r="O21" s="193"/>
      <c r="P21" s="198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3"/>
      <c r="C22" s="193"/>
      <c r="D22" s="193"/>
      <c r="E22" s="193"/>
      <c r="F22" s="66" t="s">
        <v>82</v>
      </c>
      <c r="G22" s="67" t="str">
        <f>IF(E19&lt;0.125,"NA",IF(0.125&lt;=E19,(0.8*E19)))</f>
        <v>NA</v>
      </c>
      <c r="H22" s="68"/>
      <c r="I22" s="69"/>
      <c r="J22" s="70"/>
      <c r="K22" s="193"/>
      <c r="L22" s="193"/>
      <c r="M22" s="193"/>
      <c r="N22" s="193"/>
      <c r="O22" s="193"/>
      <c r="P22" s="198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4"/>
      <c r="C23" s="194"/>
      <c r="D23" s="194"/>
      <c r="E23" s="194"/>
      <c r="F23" s="71" t="s">
        <v>83</v>
      </c>
      <c r="G23" s="72">
        <f>+E19</f>
        <v>0.02</v>
      </c>
      <c r="H23" s="73"/>
      <c r="I23" s="74"/>
      <c r="J23" s="75"/>
      <c r="K23" s="194"/>
      <c r="L23" s="194"/>
      <c r="M23" s="194"/>
      <c r="N23" s="194"/>
      <c r="O23" s="194"/>
      <c r="P23" s="199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2">
        <v>2</v>
      </c>
      <c r="C24" s="215">
        <f>+C19+$N$12</f>
        <v>1.06</v>
      </c>
      <c r="D24" s="192">
        <v>0.02</v>
      </c>
      <c r="E24" s="192">
        <v>0.03</v>
      </c>
      <c r="F24" s="61" t="s">
        <v>79</v>
      </c>
      <c r="G24" s="62">
        <v>0</v>
      </c>
      <c r="H24" s="63"/>
      <c r="I24" s="64"/>
      <c r="J24" s="65"/>
      <c r="K24" s="192">
        <f>+IF(E24&lt;=0.12,(J26),(IF(E24&lt;0.16,((J25+2*J26+J27)/4),IF(E24&gt;=0.16,((J24+3*J25+2*J26+3*J27+J28)/10)))))</f>
        <v>0.621</v>
      </c>
      <c r="L24" s="192">
        <f>ROUND(+(D19+D24)/2*(C24-C19),3)</f>
        <v>8.0000000000000002E-3</v>
      </c>
      <c r="M24" s="192">
        <f>ROUND(+K24*L24,4)</f>
        <v>5.0000000000000001E-3</v>
      </c>
      <c r="N24" s="195">
        <f>ROUND(+M24/$M$78*100,2)</f>
        <v>2.83</v>
      </c>
      <c r="O24" s="196"/>
      <c r="P24" s="197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3"/>
      <c r="C25" s="193"/>
      <c r="D25" s="193"/>
      <c r="E25" s="193"/>
      <c r="F25" s="66" t="s">
        <v>80</v>
      </c>
      <c r="G25" s="67" t="str">
        <f t="shared" ref="G25" si="0">IF(E24&lt;0.125,"NA",IF(0.125&lt;=E24,(0.2*E24)))</f>
        <v>NA</v>
      </c>
      <c r="H25" s="68"/>
      <c r="I25" s="69"/>
      <c r="J25" s="70"/>
      <c r="K25" s="193"/>
      <c r="L25" s="193"/>
      <c r="M25" s="193"/>
      <c r="N25" s="193"/>
      <c r="O25" s="193"/>
      <c r="P25" s="198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3"/>
      <c r="C26" s="193"/>
      <c r="D26" s="193"/>
      <c r="E26" s="193"/>
      <c r="F26" s="66" t="s">
        <v>81</v>
      </c>
      <c r="G26" s="67">
        <f t="shared" ref="G26" si="1">+E24*0.4</f>
        <v>1.2E-2</v>
      </c>
      <c r="H26" s="68"/>
      <c r="I26" s="69"/>
      <c r="J26" s="70">
        <v>0.621</v>
      </c>
      <c r="K26" s="193"/>
      <c r="L26" s="193"/>
      <c r="M26" s="193"/>
      <c r="N26" s="193"/>
      <c r="O26" s="193"/>
      <c r="P26" s="198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3"/>
      <c r="C27" s="193"/>
      <c r="D27" s="193"/>
      <c r="E27" s="193"/>
      <c r="F27" s="66" t="s">
        <v>82</v>
      </c>
      <c r="G27" s="67" t="str">
        <f t="shared" ref="G27" si="2">IF(E24&lt;0.125,"NA",IF(0.125&lt;=E24,(0.8*E24)))</f>
        <v>NA</v>
      </c>
      <c r="H27" s="68"/>
      <c r="I27" s="69"/>
      <c r="J27" s="70"/>
      <c r="K27" s="193"/>
      <c r="L27" s="193"/>
      <c r="M27" s="193"/>
      <c r="N27" s="193"/>
      <c r="O27" s="193"/>
      <c r="P27" s="198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4"/>
      <c r="C28" s="194"/>
      <c r="D28" s="194"/>
      <c r="E28" s="194"/>
      <c r="F28" s="71" t="s">
        <v>83</v>
      </c>
      <c r="G28" s="72">
        <f t="shared" ref="G28" si="3">+E24</f>
        <v>0.03</v>
      </c>
      <c r="H28" s="73"/>
      <c r="I28" s="74"/>
      <c r="J28" s="75"/>
      <c r="K28" s="194"/>
      <c r="L28" s="194"/>
      <c r="M28" s="194"/>
      <c r="N28" s="194"/>
      <c r="O28" s="194"/>
      <c r="P28" s="199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2">
        <v>3</v>
      </c>
      <c r="C29" s="215">
        <f>+C24+$N$12</f>
        <v>1.56</v>
      </c>
      <c r="D29" s="192">
        <v>0.03</v>
      </c>
      <c r="E29" s="192">
        <v>0.03</v>
      </c>
      <c r="F29" s="61" t="s">
        <v>79</v>
      </c>
      <c r="G29" s="62">
        <v>0</v>
      </c>
      <c r="H29" s="63"/>
      <c r="I29" s="64"/>
      <c r="J29" s="65"/>
      <c r="K29" s="192">
        <f t="shared" ref="K29" si="4">+IF(E29&lt;=0.12,(J31),(IF(E29&lt;0.16,((J30+2*J31+J32)/4),IF(E29&gt;=0.16,((J29+3*J30+2*J31+3*J32+J33)/10)))))</f>
        <v>0.99199999999999999</v>
      </c>
      <c r="L29" s="192">
        <f t="shared" ref="L29" si="5">ROUND(+(D24+D29)/2*(C29-C24),3)</f>
        <v>1.2999999999999999E-2</v>
      </c>
      <c r="M29" s="192">
        <f t="shared" ref="M29" si="6">ROUND(+K29*L29,4)</f>
        <v>1.29E-2</v>
      </c>
      <c r="N29" s="195">
        <f t="shared" ref="N29" si="7">ROUND(+M29/$M$78*100,2)</f>
        <v>7.29</v>
      </c>
      <c r="O29" s="196"/>
      <c r="P29" s="197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3"/>
      <c r="C30" s="193"/>
      <c r="D30" s="193"/>
      <c r="E30" s="193"/>
      <c r="F30" s="66" t="s">
        <v>80</v>
      </c>
      <c r="G30" s="67" t="str">
        <f t="shared" ref="G30" si="8">IF(E29&lt;0.125,"NA",IF(0.125&lt;=E29,(0.2*E29)))</f>
        <v>NA</v>
      </c>
      <c r="H30" s="68"/>
      <c r="I30" s="69"/>
      <c r="J30" s="70"/>
      <c r="K30" s="193"/>
      <c r="L30" s="193"/>
      <c r="M30" s="193"/>
      <c r="N30" s="193"/>
      <c r="O30" s="193"/>
      <c r="P30" s="198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3"/>
      <c r="C31" s="193"/>
      <c r="D31" s="193"/>
      <c r="E31" s="193"/>
      <c r="F31" s="66" t="s">
        <v>81</v>
      </c>
      <c r="G31" s="67">
        <f t="shared" ref="G31" si="9">+E29*0.4</f>
        <v>1.2E-2</v>
      </c>
      <c r="H31" s="68"/>
      <c r="I31" s="69"/>
      <c r="J31" s="70">
        <v>0.99199999999999999</v>
      </c>
      <c r="K31" s="193"/>
      <c r="L31" s="193"/>
      <c r="M31" s="193"/>
      <c r="N31" s="193"/>
      <c r="O31" s="193"/>
      <c r="P31" s="198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3"/>
      <c r="C32" s="193"/>
      <c r="D32" s="193"/>
      <c r="E32" s="193"/>
      <c r="F32" s="66" t="s">
        <v>82</v>
      </c>
      <c r="G32" s="67" t="str">
        <f t="shared" ref="G32" si="10">IF(E29&lt;0.125,"NA",IF(0.125&lt;=E29,(0.8*E29)))</f>
        <v>NA</v>
      </c>
      <c r="H32" s="68"/>
      <c r="I32" s="69"/>
      <c r="J32" s="70"/>
      <c r="K32" s="193"/>
      <c r="L32" s="193"/>
      <c r="M32" s="193"/>
      <c r="N32" s="193"/>
      <c r="O32" s="193"/>
      <c r="P32" s="198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4"/>
      <c r="C33" s="194"/>
      <c r="D33" s="194"/>
      <c r="E33" s="194"/>
      <c r="F33" s="71" t="s">
        <v>83</v>
      </c>
      <c r="G33" s="72">
        <f t="shared" ref="G33" si="11">+E29</f>
        <v>0.03</v>
      </c>
      <c r="H33" s="73"/>
      <c r="I33" s="74"/>
      <c r="J33" s="75"/>
      <c r="K33" s="194"/>
      <c r="L33" s="194"/>
      <c r="M33" s="194"/>
      <c r="N33" s="194"/>
      <c r="O33" s="194"/>
      <c r="P33" s="199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2">
        <v>4</v>
      </c>
      <c r="C34" s="215">
        <f>+C29+$N$12</f>
        <v>2.06</v>
      </c>
      <c r="D34" s="192">
        <v>0.04</v>
      </c>
      <c r="E34" s="192">
        <v>0.06</v>
      </c>
      <c r="F34" s="61" t="s">
        <v>79</v>
      </c>
      <c r="G34" s="62">
        <v>0</v>
      </c>
      <c r="H34" s="63"/>
      <c r="I34" s="64"/>
      <c r="J34" s="65"/>
      <c r="K34" s="192">
        <f t="shared" ref="K34" si="12">+IF(E34&lt;=0.12,(J36),(IF(E34&lt;0.16,((J35+2*J36+J37)/4),IF(E34&gt;=0.16,((J34+3*J35+2*J36+3*J37+J38)/10)))))</f>
        <v>0.86599999999999999</v>
      </c>
      <c r="L34" s="192">
        <f t="shared" ref="L34" si="13">ROUND(+(D29+D34)/2*(C34-C29),3)</f>
        <v>1.7999999999999999E-2</v>
      </c>
      <c r="M34" s="192">
        <f t="shared" ref="M34" si="14">ROUND(+K34*L34,4)</f>
        <v>1.5599999999999999E-2</v>
      </c>
      <c r="N34" s="195">
        <f t="shared" ref="N34" si="15">ROUND(+M34/$M$78*100,2)</f>
        <v>8.82</v>
      </c>
      <c r="O34" s="196"/>
      <c r="P34" s="197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3"/>
      <c r="C35" s="193"/>
      <c r="D35" s="193"/>
      <c r="E35" s="193"/>
      <c r="F35" s="66" t="s">
        <v>80</v>
      </c>
      <c r="G35" s="67" t="str">
        <f t="shared" ref="G35" si="16">IF(E34&lt;0.125,"NA",IF(0.125&lt;=E34,(0.2*E34)))</f>
        <v>NA</v>
      </c>
      <c r="H35" s="68"/>
      <c r="I35" s="69"/>
      <c r="J35" s="70"/>
      <c r="K35" s="193"/>
      <c r="L35" s="193"/>
      <c r="M35" s="193"/>
      <c r="N35" s="193"/>
      <c r="O35" s="193"/>
      <c r="P35" s="198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3"/>
      <c r="C36" s="193"/>
      <c r="D36" s="193"/>
      <c r="E36" s="193"/>
      <c r="F36" s="66" t="s">
        <v>81</v>
      </c>
      <c r="G36" s="67">
        <f t="shared" ref="G36" si="17">+E34*0.4</f>
        <v>2.4E-2</v>
      </c>
      <c r="H36" s="68"/>
      <c r="I36" s="69"/>
      <c r="J36" s="70">
        <v>0.86599999999999999</v>
      </c>
      <c r="K36" s="193"/>
      <c r="L36" s="193"/>
      <c r="M36" s="193"/>
      <c r="N36" s="193"/>
      <c r="O36" s="193"/>
      <c r="P36" s="198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3"/>
      <c r="C37" s="193"/>
      <c r="D37" s="193"/>
      <c r="E37" s="193"/>
      <c r="F37" s="66" t="s">
        <v>82</v>
      </c>
      <c r="G37" s="67" t="str">
        <f t="shared" ref="G37" si="18">IF(E34&lt;0.125,"NA",IF(0.125&lt;=E34,(0.8*E34)))</f>
        <v>NA</v>
      </c>
      <c r="H37" s="68"/>
      <c r="I37" s="69"/>
      <c r="J37" s="70"/>
      <c r="K37" s="193"/>
      <c r="L37" s="193"/>
      <c r="M37" s="193"/>
      <c r="N37" s="193"/>
      <c r="O37" s="193"/>
      <c r="P37" s="198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4"/>
      <c r="C38" s="194"/>
      <c r="D38" s="194"/>
      <c r="E38" s="194"/>
      <c r="F38" s="71" t="s">
        <v>83</v>
      </c>
      <c r="G38" s="72">
        <f t="shared" ref="G38" si="19">+E34</f>
        <v>0.06</v>
      </c>
      <c r="H38" s="73"/>
      <c r="I38" s="74"/>
      <c r="J38" s="75"/>
      <c r="K38" s="194"/>
      <c r="L38" s="194"/>
      <c r="M38" s="194"/>
      <c r="N38" s="194"/>
      <c r="O38" s="194"/>
      <c r="P38" s="199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2">
        <v>5</v>
      </c>
      <c r="C39" s="215">
        <f>+C34+$N$12</f>
        <v>2.56</v>
      </c>
      <c r="D39" s="192">
        <v>7.0000000000000007E-2</v>
      </c>
      <c r="E39" s="192">
        <v>0.08</v>
      </c>
      <c r="F39" s="61" t="s">
        <v>79</v>
      </c>
      <c r="G39" s="62">
        <v>0</v>
      </c>
      <c r="H39" s="63"/>
      <c r="I39" s="64"/>
      <c r="J39" s="65"/>
      <c r="K39" s="192">
        <f t="shared" ref="K39" si="20">+IF(E39&lt;=0.12,(J41),(IF(E39&lt;0.16,((J40+2*J41+J42)/4),IF(E39&gt;=0.16,((J39+3*J40+2*J41+3*J42+J43)/10)))))</f>
        <v>1.0209999999999999</v>
      </c>
      <c r="L39" s="192">
        <f t="shared" ref="L39" si="21">ROUND(+(D34+D39)/2*(C39-C34),3)</f>
        <v>2.8000000000000001E-2</v>
      </c>
      <c r="M39" s="192">
        <f t="shared" ref="M39" si="22">ROUND(+K39*L39,4)</f>
        <v>2.86E-2</v>
      </c>
      <c r="N39" s="195">
        <f t="shared" ref="N39" si="23">ROUND(+M39/$M$78*100,2)</f>
        <v>16.170000000000002</v>
      </c>
      <c r="O39" s="196"/>
      <c r="P39" s="197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3"/>
      <c r="C40" s="193"/>
      <c r="D40" s="193"/>
      <c r="E40" s="193"/>
      <c r="F40" s="66" t="s">
        <v>80</v>
      </c>
      <c r="G40" s="67" t="str">
        <f t="shared" ref="G40" si="24">IF(E39&lt;0.125,"NA",IF(0.125&lt;=E39,(0.2*E39)))</f>
        <v>NA</v>
      </c>
      <c r="H40" s="68"/>
      <c r="I40" s="69"/>
      <c r="J40" s="70"/>
      <c r="K40" s="193"/>
      <c r="L40" s="193"/>
      <c r="M40" s="193"/>
      <c r="N40" s="193"/>
      <c r="O40" s="193"/>
      <c r="P40" s="198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3"/>
      <c r="C41" s="193"/>
      <c r="D41" s="193"/>
      <c r="E41" s="193"/>
      <c r="F41" s="66" t="s">
        <v>81</v>
      </c>
      <c r="G41" s="67">
        <f t="shared" ref="G41" si="25">+E39*0.4</f>
        <v>3.2000000000000001E-2</v>
      </c>
      <c r="H41" s="68"/>
      <c r="I41" s="69"/>
      <c r="J41" s="70">
        <v>1.0209999999999999</v>
      </c>
      <c r="K41" s="193"/>
      <c r="L41" s="193"/>
      <c r="M41" s="193"/>
      <c r="N41" s="193"/>
      <c r="O41" s="193"/>
      <c r="P41" s="198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3"/>
      <c r="C42" s="193"/>
      <c r="D42" s="193"/>
      <c r="E42" s="193"/>
      <c r="F42" s="66" t="s">
        <v>82</v>
      </c>
      <c r="G42" s="67" t="str">
        <f t="shared" ref="G42" si="26">IF(E39&lt;0.125,"NA",IF(0.125&lt;=E39,(0.8*E39)))</f>
        <v>NA</v>
      </c>
      <c r="H42" s="68"/>
      <c r="I42" s="69"/>
      <c r="J42" s="70"/>
      <c r="K42" s="193"/>
      <c r="L42" s="193"/>
      <c r="M42" s="193"/>
      <c r="N42" s="193"/>
      <c r="O42" s="193"/>
      <c r="P42" s="198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4"/>
      <c r="C43" s="194"/>
      <c r="D43" s="194"/>
      <c r="E43" s="194"/>
      <c r="F43" s="71" t="s">
        <v>83</v>
      </c>
      <c r="G43" s="72">
        <f t="shared" ref="G43" si="27">+E39</f>
        <v>0.08</v>
      </c>
      <c r="H43" s="73"/>
      <c r="I43" s="74"/>
      <c r="J43" s="75"/>
      <c r="K43" s="194"/>
      <c r="L43" s="194"/>
      <c r="M43" s="194"/>
      <c r="N43" s="194"/>
      <c r="O43" s="194"/>
      <c r="P43" s="199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2">
        <v>6</v>
      </c>
      <c r="C44" s="215">
        <f>+C39+$N$12</f>
        <v>3.06</v>
      </c>
      <c r="D44" s="192">
        <v>0.08</v>
      </c>
      <c r="E44" s="192">
        <v>0.09</v>
      </c>
      <c r="F44" s="61" t="s">
        <v>79</v>
      </c>
      <c r="G44" s="62">
        <v>0</v>
      </c>
      <c r="H44" s="63"/>
      <c r="I44" s="64"/>
      <c r="J44" s="65"/>
      <c r="K44" s="192">
        <f t="shared" ref="K44" si="28">+IF(E44&lt;=0.12,(J46),(IF(E44&lt;0.16,((J45+2*J46+J47)/4),IF(E44&gt;=0.16,((J44+3*J45+2*J46+3*J47+J48)/10)))))</f>
        <v>0.92800000000000005</v>
      </c>
      <c r="L44" s="192">
        <f t="shared" ref="L44" si="29">ROUND(+(D39+D44)/2*(C44-C39),3)</f>
        <v>3.7999999999999999E-2</v>
      </c>
      <c r="M44" s="192">
        <f t="shared" ref="M44" si="30">ROUND(+K44*L44,4)</f>
        <v>3.5299999999999998E-2</v>
      </c>
      <c r="N44" s="195">
        <f t="shared" ref="N44" si="31">ROUND(+M44/$M$78*100,2)</f>
        <v>19.95</v>
      </c>
      <c r="O44" s="196"/>
      <c r="P44" s="197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3"/>
      <c r="C45" s="193"/>
      <c r="D45" s="193"/>
      <c r="E45" s="193"/>
      <c r="F45" s="66" t="s">
        <v>80</v>
      </c>
      <c r="G45" s="67" t="str">
        <f t="shared" ref="G45" si="32">IF(E44&lt;0.125,"NA",IF(0.125&lt;=E44,(0.2*E44)))</f>
        <v>NA</v>
      </c>
      <c r="H45" s="68"/>
      <c r="I45" s="69"/>
      <c r="J45" s="70"/>
      <c r="K45" s="193"/>
      <c r="L45" s="193"/>
      <c r="M45" s="193"/>
      <c r="N45" s="193"/>
      <c r="O45" s="193"/>
      <c r="P45" s="198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3"/>
      <c r="C46" s="193"/>
      <c r="D46" s="193"/>
      <c r="E46" s="193"/>
      <c r="F46" s="66" t="s">
        <v>81</v>
      </c>
      <c r="G46" s="67">
        <f t="shared" ref="G46" si="33">+E44*0.4</f>
        <v>3.5999999999999997E-2</v>
      </c>
      <c r="H46" s="68"/>
      <c r="I46" s="69"/>
      <c r="J46" s="70">
        <v>0.92800000000000005</v>
      </c>
      <c r="K46" s="193"/>
      <c r="L46" s="193"/>
      <c r="M46" s="193"/>
      <c r="N46" s="193"/>
      <c r="O46" s="193"/>
      <c r="P46" s="198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3"/>
      <c r="C47" s="193"/>
      <c r="D47" s="193"/>
      <c r="E47" s="193"/>
      <c r="F47" s="66" t="s">
        <v>82</v>
      </c>
      <c r="G47" s="67" t="str">
        <f t="shared" ref="G47" si="34">IF(E44&lt;0.125,"NA",IF(0.125&lt;=E44,(0.8*E44)))</f>
        <v>NA</v>
      </c>
      <c r="H47" s="68"/>
      <c r="I47" s="69"/>
      <c r="J47" s="70"/>
      <c r="K47" s="193"/>
      <c r="L47" s="193"/>
      <c r="M47" s="193"/>
      <c r="N47" s="193"/>
      <c r="O47" s="193"/>
      <c r="P47" s="198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4"/>
      <c r="C48" s="194"/>
      <c r="D48" s="194"/>
      <c r="E48" s="194"/>
      <c r="F48" s="71" t="s">
        <v>83</v>
      </c>
      <c r="G48" s="72">
        <f t="shared" ref="G48" si="35">+E44</f>
        <v>0.09</v>
      </c>
      <c r="H48" s="73"/>
      <c r="I48" s="74"/>
      <c r="J48" s="75"/>
      <c r="K48" s="194"/>
      <c r="L48" s="194"/>
      <c r="M48" s="194"/>
      <c r="N48" s="194"/>
      <c r="O48" s="194"/>
      <c r="P48" s="199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2">
        <v>7</v>
      </c>
      <c r="C49" s="215">
        <f>+C44+$N$12</f>
        <v>3.56</v>
      </c>
      <c r="D49" s="192">
        <v>0.08</v>
      </c>
      <c r="E49" s="192">
        <v>0.08</v>
      </c>
      <c r="F49" s="61" t="s">
        <v>79</v>
      </c>
      <c r="G49" s="62">
        <v>0</v>
      </c>
      <c r="H49" s="63"/>
      <c r="I49" s="64"/>
      <c r="J49" s="65"/>
      <c r="K49" s="192">
        <f t="shared" ref="K49" si="36">+IF(E49&lt;=0.12,(J51),(IF(E49&lt;0.16,((J50+2*J51+J52)/4),IF(E49&gt;=0.16,((J49+3*J50+2*J51+3*J52+J53)/10)))))</f>
        <v>0.94699999999999995</v>
      </c>
      <c r="L49" s="192">
        <f t="shared" ref="L49" si="37">ROUND(+(D44+D49)/2*(C49-C44),3)</f>
        <v>0.04</v>
      </c>
      <c r="M49" s="192">
        <f t="shared" ref="M49" si="38">ROUND(+K49*L49,4)</f>
        <v>3.7900000000000003E-2</v>
      </c>
      <c r="N49" s="195">
        <f t="shared" ref="N49" si="39">ROUND(+M49/$M$78*100,2)</f>
        <v>21.42</v>
      </c>
      <c r="O49" s="196"/>
      <c r="P49" s="197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3"/>
      <c r="C50" s="193"/>
      <c r="D50" s="193"/>
      <c r="E50" s="193"/>
      <c r="F50" s="66" t="s">
        <v>80</v>
      </c>
      <c r="G50" s="67" t="str">
        <f t="shared" ref="G50" si="40">IF(E49&lt;0.125,"NA",IF(0.125&lt;=E49,(0.2*E49)))</f>
        <v>NA</v>
      </c>
      <c r="H50" s="68"/>
      <c r="I50" s="69"/>
      <c r="J50" s="70"/>
      <c r="K50" s="193"/>
      <c r="L50" s="193"/>
      <c r="M50" s="193"/>
      <c r="N50" s="193"/>
      <c r="O50" s="193"/>
      <c r="P50" s="198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3"/>
      <c r="C51" s="193"/>
      <c r="D51" s="193"/>
      <c r="E51" s="193"/>
      <c r="F51" s="66" t="s">
        <v>81</v>
      </c>
      <c r="G51" s="67">
        <f t="shared" ref="G51" si="41">+E49*0.4</f>
        <v>3.2000000000000001E-2</v>
      </c>
      <c r="H51" s="68"/>
      <c r="I51" s="69"/>
      <c r="J51" s="70">
        <v>0.94699999999999995</v>
      </c>
      <c r="K51" s="193"/>
      <c r="L51" s="193"/>
      <c r="M51" s="193"/>
      <c r="N51" s="193"/>
      <c r="O51" s="193"/>
      <c r="P51" s="198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3"/>
      <c r="C52" s="193"/>
      <c r="D52" s="193"/>
      <c r="E52" s="193"/>
      <c r="F52" s="66" t="s">
        <v>82</v>
      </c>
      <c r="G52" s="67" t="str">
        <f t="shared" ref="G52" si="42">IF(E49&lt;0.125,"NA",IF(0.125&lt;=E49,(0.8*E49)))</f>
        <v>NA</v>
      </c>
      <c r="H52" s="68"/>
      <c r="I52" s="69"/>
      <c r="J52" s="70"/>
      <c r="K52" s="193"/>
      <c r="L52" s="193"/>
      <c r="M52" s="193"/>
      <c r="N52" s="193"/>
      <c r="O52" s="193"/>
      <c r="P52" s="198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4"/>
      <c r="C53" s="194"/>
      <c r="D53" s="194"/>
      <c r="E53" s="194"/>
      <c r="F53" s="71" t="s">
        <v>83</v>
      </c>
      <c r="G53" s="72">
        <f t="shared" ref="G53" si="43">+E49</f>
        <v>0.08</v>
      </c>
      <c r="H53" s="73"/>
      <c r="I53" s="74"/>
      <c r="J53" s="75"/>
      <c r="K53" s="194"/>
      <c r="L53" s="194"/>
      <c r="M53" s="194"/>
      <c r="N53" s="194"/>
      <c r="O53" s="194"/>
      <c r="P53" s="199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2">
        <v>8</v>
      </c>
      <c r="C54" s="215">
        <f>+C49+0.41</f>
        <v>3.97</v>
      </c>
      <c r="D54" s="192">
        <v>0.06</v>
      </c>
      <c r="E54" s="192">
        <v>5.5E-2</v>
      </c>
      <c r="F54" s="61" t="s">
        <v>79</v>
      </c>
      <c r="G54" s="62">
        <v>0</v>
      </c>
      <c r="H54" s="63"/>
      <c r="I54" s="64"/>
      <c r="J54" s="65"/>
      <c r="K54" s="192">
        <f t="shared" ref="K54" si="44">+IF(E54&lt;=0.12,(J56),(IF(E54&lt;0.16,((J55+2*J56+J57)/4),IF(E54&gt;=0.16,((J54+3*J55+2*J56+3*J57+J58)/10)))))</f>
        <v>1.4330000000000001</v>
      </c>
      <c r="L54" s="192">
        <f t="shared" ref="L54" si="45">ROUND(+(D49+D54)/2*(C54-C49),3)</f>
        <v>2.9000000000000001E-2</v>
      </c>
      <c r="M54" s="192">
        <f t="shared" ref="M54" si="46">ROUND(+K54*L54,4)</f>
        <v>4.1599999999999998E-2</v>
      </c>
      <c r="N54" s="195">
        <f t="shared" ref="N54" si="47">ROUND(+M54/$M$78*100,2)</f>
        <v>23.52</v>
      </c>
      <c r="O54" s="196"/>
      <c r="P54" s="197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3"/>
      <c r="C55" s="193"/>
      <c r="D55" s="193"/>
      <c r="E55" s="193"/>
      <c r="F55" s="66" t="s">
        <v>80</v>
      </c>
      <c r="G55" s="67" t="str">
        <f t="shared" ref="G55" si="48">IF(E54&lt;0.125,"NA",IF(0.125&lt;=E54,(0.2*E54)))</f>
        <v>NA</v>
      </c>
      <c r="H55" s="68"/>
      <c r="I55" s="69"/>
      <c r="J55" s="70"/>
      <c r="K55" s="193"/>
      <c r="L55" s="193"/>
      <c r="M55" s="193"/>
      <c r="N55" s="193"/>
      <c r="O55" s="193"/>
      <c r="P55" s="198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3"/>
      <c r="C56" s="193"/>
      <c r="D56" s="193"/>
      <c r="E56" s="193"/>
      <c r="F56" s="66" t="s">
        <v>81</v>
      </c>
      <c r="G56" s="67">
        <f t="shared" ref="G56" si="49">+E54*0.4</f>
        <v>2.2000000000000002E-2</v>
      </c>
      <c r="H56" s="68"/>
      <c r="I56" s="69"/>
      <c r="J56" s="70">
        <v>1.4330000000000001</v>
      </c>
      <c r="K56" s="193"/>
      <c r="L56" s="193"/>
      <c r="M56" s="193"/>
      <c r="N56" s="193"/>
      <c r="O56" s="193"/>
      <c r="P56" s="198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3"/>
      <c r="C57" s="193"/>
      <c r="D57" s="193"/>
      <c r="E57" s="193"/>
      <c r="F57" s="66" t="s">
        <v>82</v>
      </c>
      <c r="G57" s="67" t="str">
        <f t="shared" ref="G57" si="50">IF(E54&lt;0.125,"NA",IF(0.125&lt;=E54,(0.8*E54)))</f>
        <v>NA</v>
      </c>
      <c r="H57" s="68"/>
      <c r="I57" s="69"/>
      <c r="J57" s="70"/>
      <c r="K57" s="193"/>
      <c r="L57" s="193"/>
      <c r="M57" s="193"/>
      <c r="N57" s="193"/>
      <c r="O57" s="193"/>
      <c r="P57" s="198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4"/>
      <c r="C58" s="194"/>
      <c r="D58" s="194"/>
      <c r="E58" s="194"/>
      <c r="F58" s="71" t="s">
        <v>83</v>
      </c>
      <c r="G58" s="72">
        <f t="shared" ref="G58" si="51">+E54</f>
        <v>5.5E-2</v>
      </c>
      <c r="H58" s="73"/>
      <c r="I58" s="74"/>
      <c r="J58" s="75"/>
      <c r="K58" s="194"/>
      <c r="L58" s="194"/>
      <c r="M58" s="194"/>
      <c r="N58" s="194"/>
      <c r="O58" s="194"/>
      <c r="P58" s="199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3" customFormat="1" ht="14.1" customHeight="1" x14ac:dyDescent="0.2">
      <c r="B59" s="200" t="s">
        <v>29</v>
      </c>
      <c r="C59" s="203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5"/>
    </row>
    <row r="60" spans="1:26" s="3" customFormat="1" ht="14.1" customHeight="1" x14ac:dyDescent="0.2">
      <c r="B60" s="201"/>
      <c r="C60" s="206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8"/>
    </row>
    <row r="61" spans="1:26" s="3" customFormat="1" ht="14.1" customHeight="1" x14ac:dyDescent="0.2">
      <c r="B61" s="201"/>
      <c r="C61" s="206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8"/>
    </row>
    <row r="62" spans="1:26" s="3" customFormat="1" ht="14.1" customHeight="1" x14ac:dyDescent="0.2">
      <c r="B62" s="201"/>
      <c r="C62" s="206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8"/>
    </row>
    <row r="63" spans="1:26" s="3" customFormat="1" ht="14.1" customHeight="1" x14ac:dyDescent="0.2">
      <c r="B63" s="201"/>
      <c r="C63" s="206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8"/>
    </row>
    <row r="64" spans="1:26" s="3" customFormat="1" ht="14.1" customHeight="1" thickBot="1" x14ac:dyDescent="0.25">
      <c r="B64" s="202"/>
      <c r="C64" s="209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</row>
    <row r="65" spans="1:26" s="3" customFormat="1" ht="28.5" customHeight="1" thickBot="1" x14ac:dyDescent="0.25">
      <c r="A65" s="76"/>
      <c r="B65" s="77" t="s">
        <v>84</v>
      </c>
      <c r="C65" s="179" t="s">
        <v>85</v>
      </c>
      <c r="D65" s="179"/>
      <c r="E65" s="179"/>
      <c r="F65" s="179"/>
      <c r="G65" s="179"/>
      <c r="H65" s="180"/>
      <c r="I65" s="181"/>
      <c r="J65" s="77" t="s">
        <v>86</v>
      </c>
      <c r="K65" s="179" t="s">
        <v>87</v>
      </c>
      <c r="L65" s="179"/>
      <c r="M65" s="179"/>
      <c r="N65" s="179"/>
      <c r="O65" s="179"/>
      <c r="P65" s="180"/>
    </row>
    <row r="66" spans="1:26" s="3" customFormat="1" ht="28.5" customHeight="1" thickBot="1" x14ac:dyDescent="0.25">
      <c r="B66" s="78" t="s">
        <v>88</v>
      </c>
      <c r="C66" s="183" t="s">
        <v>89</v>
      </c>
      <c r="D66" s="183"/>
      <c r="E66" s="183"/>
      <c r="F66" s="183"/>
      <c r="G66" s="183"/>
      <c r="H66" s="184"/>
      <c r="I66" s="182"/>
      <c r="J66" s="78" t="s">
        <v>90</v>
      </c>
      <c r="K66" s="183" t="s">
        <v>91</v>
      </c>
      <c r="L66" s="183"/>
      <c r="M66" s="183"/>
      <c r="N66" s="183"/>
      <c r="O66" s="183"/>
      <c r="P66" s="184"/>
    </row>
    <row r="67" spans="1:26" s="19" customFormat="1" ht="13.5" customHeight="1" x14ac:dyDescent="0.25">
      <c r="A67" s="79"/>
      <c r="B67" s="185"/>
      <c r="C67" s="188"/>
      <c r="D67" s="190"/>
      <c r="E67" s="190"/>
      <c r="F67" s="80"/>
      <c r="G67" s="80"/>
      <c r="H67" s="81"/>
      <c r="I67" s="82"/>
      <c r="J67" s="83"/>
      <c r="K67" s="191"/>
      <c r="L67" s="170"/>
      <c r="M67" s="173"/>
      <c r="N67" s="170"/>
      <c r="O67" s="170"/>
      <c r="P67" s="17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s="19" customFormat="1" ht="13.5" customHeight="1" x14ac:dyDescent="0.25">
      <c r="A68" s="79"/>
      <c r="B68" s="186"/>
      <c r="C68" s="171"/>
      <c r="D68" s="171"/>
      <c r="E68" s="171"/>
      <c r="F68" s="85"/>
      <c r="G68" s="86"/>
      <c r="H68" s="87"/>
      <c r="I68" s="88"/>
      <c r="J68" s="89"/>
      <c r="K68" s="171"/>
      <c r="L68" s="171"/>
      <c r="M68" s="171"/>
      <c r="N68" s="171"/>
      <c r="O68" s="171"/>
      <c r="P68" s="175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s="19" customFormat="1" ht="13.5" customHeight="1" x14ac:dyDescent="0.25">
      <c r="A69" s="79"/>
      <c r="B69" s="186"/>
      <c r="C69" s="171"/>
      <c r="D69" s="171"/>
      <c r="E69" s="171"/>
      <c r="F69" s="85"/>
      <c r="G69" s="86"/>
      <c r="H69" s="87"/>
      <c r="I69" s="88"/>
      <c r="J69" s="89"/>
      <c r="K69" s="171"/>
      <c r="L69" s="171"/>
      <c r="M69" s="171"/>
      <c r="N69" s="171"/>
      <c r="O69" s="171"/>
      <c r="P69" s="175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s="19" customFormat="1" ht="13.5" customHeight="1" x14ac:dyDescent="0.25">
      <c r="A70" s="79"/>
      <c r="B70" s="186"/>
      <c r="C70" s="171"/>
      <c r="D70" s="171"/>
      <c r="E70" s="171"/>
      <c r="F70" s="85"/>
      <c r="G70" s="86"/>
      <c r="H70" s="87"/>
      <c r="I70" s="88"/>
      <c r="J70" s="89"/>
      <c r="K70" s="171"/>
      <c r="L70" s="171"/>
      <c r="M70" s="171"/>
      <c r="N70" s="171"/>
      <c r="O70" s="171"/>
      <c r="P70" s="175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s="19" customFormat="1" ht="13.5" customHeight="1" x14ac:dyDescent="0.25">
      <c r="A71" s="79"/>
      <c r="B71" s="186"/>
      <c r="C71" s="189"/>
      <c r="D71" s="189"/>
      <c r="E71" s="171"/>
      <c r="F71" s="85"/>
      <c r="G71" s="86"/>
      <c r="H71" s="87"/>
      <c r="I71" s="88"/>
      <c r="J71" s="89"/>
      <c r="K71" s="171"/>
      <c r="L71" s="171"/>
      <c r="M71" s="171"/>
      <c r="N71" s="171"/>
      <c r="O71" s="171"/>
      <c r="P71" s="175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s="19" customFormat="1" ht="13.5" customHeight="1" x14ac:dyDescent="0.25">
      <c r="A72" s="79"/>
      <c r="B72" s="186"/>
      <c r="C72" s="177"/>
      <c r="D72" s="178"/>
      <c r="E72" s="171"/>
      <c r="F72" s="85"/>
      <c r="G72" s="86"/>
      <c r="H72" s="87"/>
      <c r="I72" s="88"/>
      <c r="J72" s="89"/>
      <c r="K72" s="171"/>
      <c r="L72" s="171"/>
      <c r="M72" s="171"/>
      <c r="N72" s="171"/>
      <c r="O72" s="171"/>
      <c r="P72" s="175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s="19" customFormat="1" ht="13.5" customHeight="1" x14ac:dyDescent="0.25">
      <c r="A73" s="79"/>
      <c r="B73" s="186"/>
      <c r="C73" s="171"/>
      <c r="D73" s="171"/>
      <c r="E73" s="171"/>
      <c r="F73" s="85"/>
      <c r="G73" s="86"/>
      <c r="H73" s="87"/>
      <c r="I73" s="88"/>
      <c r="J73" s="89"/>
      <c r="K73" s="171"/>
      <c r="L73" s="171"/>
      <c r="M73" s="171"/>
      <c r="N73" s="171"/>
      <c r="O73" s="171"/>
      <c r="P73" s="175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s="19" customFormat="1" ht="13.5" customHeight="1" x14ac:dyDescent="0.25">
      <c r="A74" s="79"/>
      <c r="B74" s="186"/>
      <c r="C74" s="171"/>
      <c r="D74" s="171"/>
      <c r="E74" s="171"/>
      <c r="F74" s="85"/>
      <c r="G74" s="86"/>
      <c r="H74" s="87"/>
      <c r="I74" s="88"/>
      <c r="J74" s="89"/>
      <c r="K74" s="171"/>
      <c r="L74" s="171"/>
      <c r="M74" s="171"/>
      <c r="N74" s="171"/>
      <c r="O74" s="171"/>
      <c r="P74" s="175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s="19" customFormat="1" ht="13.5" customHeight="1" x14ac:dyDescent="0.25">
      <c r="A75" s="79"/>
      <c r="B75" s="186"/>
      <c r="C75" s="171"/>
      <c r="D75" s="171"/>
      <c r="E75" s="171"/>
      <c r="F75" s="85"/>
      <c r="G75" s="86"/>
      <c r="H75" s="87"/>
      <c r="I75" s="88"/>
      <c r="J75" s="89"/>
      <c r="K75" s="171"/>
      <c r="L75" s="171"/>
      <c r="M75" s="171"/>
      <c r="N75" s="171"/>
      <c r="O75" s="171"/>
      <c r="P75" s="175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s="19" customFormat="1" ht="13.5" customHeight="1" x14ac:dyDescent="0.25">
      <c r="A76" s="79"/>
      <c r="B76" s="186"/>
      <c r="C76" s="171"/>
      <c r="D76" s="171"/>
      <c r="E76" s="171"/>
      <c r="F76" s="85"/>
      <c r="G76" s="86"/>
      <c r="H76" s="87"/>
      <c r="I76" s="88"/>
      <c r="J76" s="89"/>
      <c r="K76" s="171"/>
      <c r="L76" s="171"/>
      <c r="M76" s="171"/>
      <c r="N76" s="171"/>
      <c r="O76" s="171"/>
      <c r="P76" s="175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s="19" customFormat="1" ht="15.75" thickBot="1" x14ac:dyDescent="0.3">
      <c r="A77" s="79"/>
      <c r="B77" s="187"/>
      <c r="C77" s="172"/>
      <c r="D77" s="172"/>
      <c r="E77" s="172"/>
      <c r="F77" s="90"/>
      <c r="G77" s="90"/>
      <c r="H77" s="91"/>
      <c r="I77" s="92"/>
      <c r="J77" s="93"/>
      <c r="K77" s="172"/>
      <c r="L77" s="172"/>
      <c r="M77" s="172"/>
      <c r="N77" s="172"/>
      <c r="O77" s="172"/>
      <c r="P77" s="176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s="3" customFormat="1" ht="12.75" x14ac:dyDescent="0.2">
      <c r="A78" s="11"/>
      <c r="B78" s="158" t="s">
        <v>32</v>
      </c>
      <c r="C78" s="158"/>
      <c r="D78" s="158"/>
      <c r="E78" s="158"/>
      <c r="F78" s="158"/>
      <c r="G78" s="158"/>
      <c r="H78" s="158"/>
      <c r="I78" s="158"/>
      <c r="J78" s="158"/>
      <c r="K78" s="12">
        <f>ROUND(+M78/L78,3)</f>
        <v>0.999</v>
      </c>
      <c r="L78" s="16">
        <f>SUM(L19:L77)</f>
        <v>0.17699999999999999</v>
      </c>
      <c r="M78" s="15">
        <f>SUM(M19:M77)</f>
        <v>0.1769</v>
      </c>
      <c r="N78" s="13">
        <f>ROUND(SUM(N19:N77),0)</f>
        <v>100</v>
      </c>
      <c r="O78" s="160" t="s">
        <v>33</v>
      </c>
      <c r="P78" s="162"/>
    </row>
    <row r="79" spans="1:26" s="3" customFormat="1" ht="15" customHeight="1" thickBot="1" x14ac:dyDescent="0.25">
      <c r="A79" s="11"/>
      <c r="B79" s="159"/>
      <c r="C79" s="159"/>
      <c r="D79" s="159"/>
      <c r="E79" s="159"/>
      <c r="F79" s="159"/>
      <c r="G79" s="159"/>
      <c r="H79" s="159"/>
      <c r="I79" s="159"/>
      <c r="J79" s="159"/>
      <c r="K79" s="14" t="s">
        <v>34</v>
      </c>
      <c r="L79" s="14" t="s">
        <v>50</v>
      </c>
      <c r="M79" s="14" t="s">
        <v>51</v>
      </c>
      <c r="N79" s="14" t="s">
        <v>35</v>
      </c>
      <c r="O79" s="161"/>
      <c r="P79" s="163"/>
    </row>
    <row r="80" spans="1:26" ht="15" customHeight="1" thickBot="1" x14ac:dyDescent="0.3">
      <c r="A80" s="5"/>
      <c r="B80" s="164" t="s">
        <v>100</v>
      </c>
      <c r="C80" s="165"/>
      <c r="D80" s="165"/>
      <c r="E80" s="165"/>
      <c r="F80" s="166"/>
      <c r="G80" s="164" t="s">
        <v>101</v>
      </c>
      <c r="H80" s="165"/>
      <c r="I80" s="165"/>
      <c r="J80" s="165"/>
      <c r="K80" s="166"/>
      <c r="L80" s="167" t="s">
        <v>53</v>
      </c>
      <c r="M80" s="168"/>
      <c r="N80" s="168"/>
      <c r="O80" s="168"/>
      <c r="P80" s="169"/>
    </row>
    <row r="81" spans="1:16" ht="15" customHeight="1" x14ac:dyDescent="0.25">
      <c r="A81" s="5"/>
      <c r="B81" s="128"/>
      <c r="C81" s="129"/>
      <c r="D81" s="129"/>
      <c r="E81" s="129"/>
      <c r="F81" s="130"/>
      <c r="G81" s="128"/>
      <c r="H81" s="129"/>
      <c r="I81" s="129"/>
      <c r="J81" s="129"/>
      <c r="K81" s="130"/>
      <c r="L81" s="137" t="s">
        <v>102</v>
      </c>
      <c r="M81" s="138"/>
      <c r="N81" s="138"/>
      <c r="O81" s="139">
        <f>+AVERAGE(E18:E58)</f>
        <v>5.5625000000000008E-2</v>
      </c>
      <c r="P81" s="140"/>
    </row>
    <row r="82" spans="1:16" ht="15" customHeight="1" thickBot="1" x14ac:dyDescent="0.3">
      <c r="A82" s="5"/>
      <c r="B82" s="131"/>
      <c r="C82" s="132"/>
      <c r="D82" s="132"/>
      <c r="E82" s="132"/>
      <c r="F82" s="133"/>
      <c r="G82" s="131"/>
      <c r="H82" s="132"/>
      <c r="I82" s="132"/>
      <c r="J82" s="132"/>
      <c r="K82" s="133"/>
      <c r="L82" s="141" t="s">
        <v>103</v>
      </c>
      <c r="M82" s="142"/>
      <c r="N82" s="142"/>
      <c r="O82" s="143">
        <f>+MAX(E18:E58)</f>
        <v>0.09</v>
      </c>
      <c r="P82" s="144"/>
    </row>
    <row r="83" spans="1:16" ht="18.600000000000001" customHeight="1" x14ac:dyDescent="0.25">
      <c r="A83" s="6"/>
      <c r="B83" s="131"/>
      <c r="C83" s="132"/>
      <c r="D83" s="132"/>
      <c r="E83" s="132"/>
      <c r="F83" s="133"/>
      <c r="G83" s="131"/>
      <c r="H83" s="132"/>
      <c r="I83" s="132"/>
      <c r="J83" s="132"/>
      <c r="K83" s="133"/>
      <c r="L83" s="145" t="s">
        <v>117</v>
      </c>
      <c r="M83" s="146"/>
      <c r="N83" s="146"/>
      <c r="O83" s="146"/>
      <c r="P83" s="147"/>
    </row>
    <row r="84" spans="1:16" ht="48" customHeight="1" x14ac:dyDescent="0.25">
      <c r="A84" s="10"/>
      <c r="B84" s="131"/>
      <c r="C84" s="132"/>
      <c r="D84" s="132"/>
      <c r="E84" s="132"/>
      <c r="F84" s="133"/>
      <c r="G84" s="131"/>
      <c r="H84" s="132"/>
      <c r="I84" s="132"/>
      <c r="J84" s="132"/>
      <c r="K84" s="133"/>
      <c r="L84" s="148"/>
      <c r="M84" s="149"/>
      <c r="N84" s="149"/>
      <c r="O84" s="149"/>
      <c r="P84" s="150"/>
    </row>
    <row r="85" spans="1:16" ht="15" customHeight="1" thickBot="1" x14ac:dyDescent="0.3">
      <c r="A85" s="5"/>
      <c r="B85" s="131"/>
      <c r="C85" s="132"/>
      <c r="D85" s="132"/>
      <c r="E85" s="132"/>
      <c r="F85" s="133"/>
      <c r="G85" s="131"/>
      <c r="H85" s="132"/>
      <c r="I85" s="132"/>
      <c r="J85" s="132"/>
      <c r="K85" s="133"/>
      <c r="L85" s="151"/>
      <c r="M85" s="152"/>
      <c r="N85" s="152"/>
      <c r="O85" s="152"/>
      <c r="P85" s="153"/>
    </row>
    <row r="86" spans="1:16" ht="22.5" customHeight="1" thickBot="1" x14ac:dyDescent="0.3">
      <c r="A86" s="5"/>
      <c r="B86" s="131"/>
      <c r="C86" s="132"/>
      <c r="D86" s="132"/>
      <c r="E86" s="132"/>
      <c r="F86" s="133"/>
      <c r="G86" s="131"/>
      <c r="H86" s="132"/>
      <c r="I86" s="132"/>
      <c r="J86" s="132"/>
      <c r="K86" s="133"/>
      <c r="L86" s="154" t="s">
        <v>36</v>
      </c>
      <c r="M86" s="155"/>
      <c r="N86" s="155"/>
      <c r="O86" s="155"/>
      <c r="P86" s="95">
        <v>5.59</v>
      </c>
    </row>
    <row r="87" spans="1:16" ht="32.25" customHeight="1" thickBot="1" x14ac:dyDescent="0.3">
      <c r="A87" s="5"/>
      <c r="B87" s="134"/>
      <c r="C87" s="135"/>
      <c r="D87" s="135"/>
      <c r="E87" s="135"/>
      <c r="F87" s="136"/>
      <c r="G87" s="134"/>
      <c r="H87" s="135"/>
      <c r="I87" s="135"/>
      <c r="J87" s="135"/>
      <c r="K87" s="136"/>
      <c r="L87" s="156" t="s">
        <v>52</v>
      </c>
      <c r="M87" s="157"/>
      <c r="N87" s="157"/>
      <c r="O87" s="157"/>
      <c r="P87" s="95">
        <v>0.31890000000000002</v>
      </c>
    </row>
    <row r="88" spans="1:16" ht="23.45" customHeight="1" thickBot="1" x14ac:dyDescent="0.3">
      <c r="A88" s="7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1:16" ht="15.75" thickBot="1" x14ac:dyDescent="0.3">
      <c r="A89" s="115" t="s">
        <v>37</v>
      </c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7"/>
    </row>
    <row r="90" spans="1:16" ht="159" customHeight="1" thickBot="1" x14ac:dyDescent="0.3">
      <c r="A90" s="4"/>
      <c r="B90" s="118"/>
      <c r="C90" s="119"/>
      <c r="D90" s="119"/>
      <c r="E90" s="119"/>
      <c r="F90" s="120"/>
      <c r="G90" s="118"/>
      <c r="H90" s="119"/>
      <c r="I90" s="119"/>
      <c r="J90" s="119"/>
      <c r="K90" s="120"/>
      <c r="L90" s="118"/>
      <c r="M90" s="119"/>
      <c r="N90" s="119"/>
      <c r="O90" s="119"/>
      <c r="P90" s="121"/>
    </row>
    <row r="91" spans="1:16" ht="21.75" customHeight="1" thickBot="1" x14ac:dyDescent="0.3">
      <c r="A91" s="4"/>
      <c r="B91" s="125" t="s">
        <v>112</v>
      </c>
      <c r="C91" s="126"/>
      <c r="D91" s="126"/>
      <c r="E91" s="126"/>
      <c r="F91" s="304"/>
      <c r="G91" s="122" t="s">
        <v>104</v>
      </c>
      <c r="H91" s="123"/>
      <c r="I91" s="123"/>
      <c r="J91" s="123"/>
      <c r="K91" s="123"/>
      <c r="L91" s="123"/>
      <c r="M91" s="123"/>
      <c r="N91" s="123"/>
      <c r="O91" s="123"/>
      <c r="P91" s="124"/>
    </row>
    <row r="92" spans="1:16" s="9" customFormat="1" ht="16.899999999999999" customHeight="1" thickBot="1" x14ac:dyDescent="0.3">
      <c r="A92" s="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10"/>
    </row>
    <row r="93" spans="1:16" s="3" customFormat="1" ht="15.75" customHeight="1" thickBot="1" x14ac:dyDescent="0.25">
      <c r="A93" s="111" t="s">
        <v>38</v>
      </c>
      <c r="B93" s="112"/>
      <c r="C93" s="112"/>
      <c r="D93" s="112"/>
      <c r="E93" s="112"/>
      <c r="F93" s="112"/>
      <c r="G93" s="112"/>
      <c r="H93" s="112"/>
      <c r="I93" s="112"/>
      <c r="J93" s="112" t="s">
        <v>39</v>
      </c>
      <c r="K93" s="112"/>
      <c r="L93" s="112"/>
      <c r="M93" s="112"/>
      <c r="N93" s="112"/>
      <c r="O93" s="112"/>
      <c r="P93" s="113"/>
    </row>
  </sheetData>
  <mergeCells count="18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54:M58"/>
    <mergeCell ref="N54:N58"/>
    <mergeCell ref="O54:O58"/>
    <mergeCell ref="P54:P58"/>
    <mergeCell ref="B59:B64"/>
    <mergeCell ref="C59:P64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C65:H65"/>
    <mergeCell ref="I65:I66"/>
    <mergeCell ref="K65:P65"/>
    <mergeCell ref="C66:H66"/>
    <mergeCell ref="K66:P66"/>
    <mergeCell ref="B67:B77"/>
    <mergeCell ref="C67:C71"/>
    <mergeCell ref="D67:D71"/>
    <mergeCell ref="E67:E77"/>
    <mergeCell ref="K67:K77"/>
    <mergeCell ref="B78:J79"/>
    <mergeCell ref="O78:O79"/>
    <mergeCell ref="P78:P79"/>
    <mergeCell ref="B80:F80"/>
    <mergeCell ref="G80:K80"/>
    <mergeCell ref="L80:P80"/>
    <mergeCell ref="L67:L77"/>
    <mergeCell ref="M67:M77"/>
    <mergeCell ref="N67:N77"/>
    <mergeCell ref="O67:O77"/>
    <mergeCell ref="P67:P77"/>
    <mergeCell ref="C72:C77"/>
    <mergeCell ref="D72:D77"/>
    <mergeCell ref="B81:F87"/>
    <mergeCell ref="G81:K87"/>
    <mergeCell ref="L81:N81"/>
    <mergeCell ref="O81:P81"/>
    <mergeCell ref="L82:N82"/>
    <mergeCell ref="O82:P82"/>
    <mergeCell ref="L83:P85"/>
    <mergeCell ref="L86:O86"/>
    <mergeCell ref="L87:O87"/>
    <mergeCell ref="B92:P92"/>
    <mergeCell ref="A93:C93"/>
    <mergeCell ref="D93:I93"/>
    <mergeCell ref="J93:K93"/>
    <mergeCell ref="L93:P93"/>
    <mergeCell ref="B88:P88"/>
    <mergeCell ref="A89:P89"/>
    <mergeCell ref="B90:F90"/>
    <mergeCell ref="G90:K90"/>
    <mergeCell ref="L90:P90"/>
    <mergeCell ref="B91:F91"/>
    <mergeCell ref="G91:P9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3"/>
  <sheetViews>
    <sheetView view="pageBreakPreview" topLeftCell="H1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120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6.2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8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9">
        <v>43154</v>
      </c>
      <c r="D5" s="300"/>
      <c r="E5" s="22" t="s">
        <v>1</v>
      </c>
      <c r="F5" s="23">
        <v>4</v>
      </c>
      <c r="G5" s="24" t="s">
        <v>2</v>
      </c>
      <c r="H5" s="301" t="s">
        <v>121</v>
      </c>
      <c r="I5" s="302"/>
      <c r="J5" s="302"/>
      <c r="K5" s="302"/>
      <c r="L5" s="302"/>
      <c r="M5" s="302"/>
      <c r="N5" s="302"/>
      <c r="O5" s="302"/>
      <c r="P5" s="303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2" t="s">
        <v>3</v>
      </c>
      <c r="C6" s="283"/>
      <c r="D6" s="284" t="s">
        <v>118</v>
      </c>
      <c r="E6" s="285"/>
      <c r="F6" s="285"/>
      <c r="G6" s="285"/>
      <c r="H6" s="285"/>
      <c r="I6" s="286"/>
      <c r="J6" s="28" t="s">
        <v>4</v>
      </c>
      <c r="K6" s="287" t="s">
        <v>110</v>
      </c>
      <c r="L6" s="286"/>
      <c r="M6" s="287" t="s">
        <v>111</v>
      </c>
      <c r="N6" s="288"/>
      <c r="O6" s="29" t="s">
        <v>54</v>
      </c>
      <c r="P6" s="30">
        <v>1942</v>
      </c>
    </row>
    <row r="7" spans="1:26" s="26" customFormat="1" ht="21.75" customHeight="1" x14ac:dyDescent="0.25">
      <c r="B7" s="289" t="s">
        <v>55</v>
      </c>
      <c r="C7" s="290" t="s">
        <v>56</v>
      </c>
      <c r="D7" s="260"/>
      <c r="E7" s="32"/>
      <c r="F7" s="291" t="s">
        <v>57</v>
      </c>
      <c r="G7" s="292"/>
      <c r="H7" s="292"/>
      <c r="I7" s="292"/>
      <c r="J7" s="293" t="s">
        <v>58</v>
      </c>
      <c r="K7" s="294"/>
      <c r="L7" s="294"/>
      <c r="M7" s="295"/>
      <c r="N7" s="296" t="s">
        <v>59</v>
      </c>
      <c r="O7" s="297"/>
      <c r="P7" s="33" t="s">
        <v>60</v>
      </c>
    </row>
    <row r="8" spans="1:26" s="26" customFormat="1" ht="21.75" customHeight="1" thickBot="1" x14ac:dyDescent="0.3">
      <c r="B8" s="234"/>
      <c r="C8" s="251" t="s">
        <v>61</v>
      </c>
      <c r="D8" s="250"/>
      <c r="E8" s="34" t="s">
        <v>5</v>
      </c>
      <c r="F8" s="261" t="s">
        <v>6</v>
      </c>
      <c r="G8" s="262"/>
      <c r="H8" s="262"/>
      <c r="I8" s="262"/>
      <c r="J8" s="263"/>
      <c r="K8" s="264"/>
      <c r="L8" s="264"/>
      <c r="M8" s="265"/>
      <c r="N8" s="266"/>
      <c r="O8" s="267"/>
      <c r="P8" s="35"/>
    </row>
    <row r="9" spans="1:26" s="26" customFormat="1" ht="21.75" customHeight="1" x14ac:dyDescent="0.25">
      <c r="B9" s="268" t="s">
        <v>7</v>
      </c>
      <c r="C9" s="271" t="s">
        <v>62</v>
      </c>
      <c r="D9" s="272" t="s">
        <v>63</v>
      </c>
      <c r="E9" s="257"/>
      <c r="F9" s="36"/>
      <c r="G9" s="273" t="s">
        <v>8</v>
      </c>
      <c r="H9" s="274" t="s">
        <v>9</v>
      </c>
      <c r="I9" s="260"/>
      <c r="J9" s="37"/>
      <c r="K9" s="271" t="s">
        <v>64</v>
      </c>
      <c r="L9" s="275" t="s">
        <v>119</v>
      </c>
      <c r="M9" s="276"/>
      <c r="N9" s="277"/>
      <c r="O9" s="277"/>
      <c r="P9" s="278"/>
    </row>
    <row r="10" spans="1:26" s="26" customFormat="1" ht="21.75" customHeight="1" thickBot="1" x14ac:dyDescent="0.3">
      <c r="B10" s="269"/>
      <c r="C10" s="214"/>
      <c r="D10" s="255" t="s">
        <v>65</v>
      </c>
      <c r="E10" s="250"/>
      <c r="F10" s="38"/>
      <c r="G10" s="214"/>
      <c r="H10" s="255" t="s">
        <v>10</v>
      </c>
      <c r="I10" s="250"/>
      <c r="J10" s="39" t="s">
        <v>5</v>
      </c>
      <c r="K10" s="214"/>
      <c r="L10" s="279"/>
      <c r="M10" s="280"/>
      <c r="N10" s="280"/>
      <c r="O10" s="280"/>
      <c r="P10" s="281"/>
    </row>
    <row r="11" spans="1:26" s="26" customFormat="1" ht="21.75" customHeight="1" x14ac:dyDescent="0.25">
      <c r="A11" s="20"/>
      <c r="B11" s="269"/>
      <c r="C11" s="256" t="s">
        <v>11</v>
      </c>
      <c r="D11" s="257"/>
      <c r="E11" s="40">
        <v>0.37013888888888885</v>
      </c>
      <c r="F11" s="258" t="s">
        <v>12</v>
      </c>
      <c r="G11" s="257"/>
      <c r="H11" s="41">
        <v>1.46</v>
      </c>
      <c r="I11" s="259" t="s">
        <v>13</v>
      </c>
      <c r="J11" s="260"/>
      <c r="K11" s="41">
        <v>13</v>
      </c>
      <c r="L11" s="256" t="s">
        <v>14</v>
      </c>
      <c r="M11" s="257"/>
      <c r="N11" s="42">
        <v>3.91</v>
      </c>
      <c r="O11" s="247" t="s">
        <v>66</v>
      </c>
      <c r="P11" s="248"/>
    </row>
    <row r="12" spans="1:26" s="26" customFormat="1" ht="21.75" customHeight="1" thickBot="1" x14ac:dyDescent="0.3">
      <c r="A12" s="20"/>
      <c r="B12" s="270"/>
      <c r="C12" s="249" t="s">
        <v>15</v>
      </c>
      <c r="D12" s="250"/>
      <c r="E12" s="40">
        <v>0.3888888888888889</v>
      </c>
      <c r="F12" s="251" t="s">
        <v>16</v>
      </c>
      <c r="G12" s="250"/>
      <c r="H12" s="41">
        <v>1.44</v>
      </c>
      <c r="I12" s="252" t="s">
        <v>17</v>
      </c>
      <c r="J12" s="250"/>
      <c r="K12" s="40">
        <v>0.35416666666666669</v>
      </c>
      <c r="L12" s="249" t="s">
        <v>18</v>
      </c>
      <c r="M12" s="250"/>
      <c r="N12" s="43">
        <v>0.3</v>
      </c>
      <c r="O12" s="253">
        <v>0.06</v>
      </c>
      <c r="P12" s="254"/>
    </row>
    <row r="13" spans="1:26" s="26" customFormat="1" ht="21.75" customHeight="1" x14ac:dyDescent="0.25">
      <c r="A13" s="20"/>
      <c r="B13" s="232" t="s">
        <v>19</v>
      </c>
      <c r="C13" s="235" t="s">
        <v>67</v>
      </c>
      <c r="D13" s="236"/>
      <c r="E13" s="236"/>
      <c r="F13" s="237" t="s">
        <v>68</v>
      </c>
      <c r="G13" s="236"/>
      <c r="H13" s="236"/>
      <c r="I13" s="236"/>
      <c r="J13" s="237" t="s">
        <v>69</v>
      </c>
      <c r="K13" s="236"/>
      <c r="L13" s="236"/>
      <c r="M13" s="236"/>
      <c r="N13" s="238" t="s">
        <v>70</v>
      </c>
      <c r="O13" s="236"/>
      <c r="P13" s="239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3"/>
      <c r="C14" s="240" t="s">
        <v>71</v>
      </c>
      <c r="D14" s="241"/>
      <c r="E14" s="241"/>
      <c r="F14" s="242" t="s">
        <v>72</v>
      </c>
      <c r="G14" s="241"/>
      <c r="H14" s="241"/>
      <c r="I14" s="241"/>
      <c r="J14" s="243" t="s">
        <v>73</v>
      </c>
      <c r="K14" s="241"/>
      <c r="L14" s="241"/>
      <c r="M14" s="241"/>
      <c r="N14" s="244"/>
      <c r="O14" s="229"/>
      <c r="P14" s="24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4"/>
      <c r="C15" s="246" t="s">
        <v>74</v>
      </c>
      <c r="D15" s="216"/>
      <c r="E15" s="216"/>
      <c r="F15" s="216" t="s">
        <v>75</v>
      </c>
      <c r="G15" s="217"/>
      <c r="H15" s="217"/>
      <c r="I15" s="217"/>
      <c r="J15" s="216" t="s">
        <v>76</v>
      </c>
      <c r="K15" s="217"/>
      <c r="L15" s="217"/>
      <c r="M15" s="217"/>
      <c r="N15" s="218"/>
      <c r="O15" s="219"/>
      <c r="P15" s="220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1" t="s">
        <v>20</v>
      </c>
      <c r="C16" s="223" t="s">
        <v>21</v>
      </c>
      <c r="D16" s="223" t="s">
        <v>42</v>
      </c>
      <c r="E16" s="225" t="s">
        <v>22</v>
      </c>
      <c r="F16" s="226" t="s">
        <v>43</v>
      </c>
      <c r="G16" s="227"/>
      <c r="H16" s="223" t="s">
        <v>77</v>
      </c>
      <c r="I16" s="230" t="s">
        <v>78</v>
      </c>
      <c r="J16" s="94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2"/>
      <c r="C17" s="224"/>
      <c r="D17" s="224"/>
      <c r="E17" s="224"/>
      <c r="F17" s="228"/>
      <c r="G17" s="229"/>
      <c r="H17" s="224"/>
      <c r="I17" s="231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0.06</v>
      </c>
      <c r="D18" s="54">
        <v>8.3000000000000004E-2</v>
      </c>
      <c r="E18" s="55"/>
      <c r="F18" s="56"/>
      <c r="G18" s="97"/>
      <c r="H18" s="57"/>
      <c r="I18" s="58"/>
      <c r="J18" s="96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2">
        <v>1</v>
      </c>
      <c r="C19" s="215">
        <f>C18+$N$12</f>
        <v>0.36</v>
      </c>
      <c r="D19" s="192">
        <v>8.2000000000000003E-2</v>
      </c>
      <c r="E19" s="192">
        <v>8.3000000000000004E-2</v>
      </c>
      <c r="F19" s="61" t="s">
        <v>79</v>
      </c>
      <c r="G19" s="62">
        <v>0</v>
      </c>
      <c r="H19" s="63"/>
      <c r="I19" s="64"/>
      <c r="J19" s="65">
        <v>1.0999999999999999E-2</v>
      </c>
      <c r="K19" s="192">
        <f t="shared" ref="K19" si="0">+IF(E19&lt;=0.12,(J21),(IF(E19&lt;0.16,((J20+2*J21+J22)/4),IF(E19&gt;=0.16,((J19+3*J20+2*J21+3*J22+J23)/10)))))</f>
        <v>1.6E-2</v>
      </c>
      <c r="L19" s="192">
        <f>ROUND(+(C18+D19)/2*(C19-D18),3)</f>
        <v>0.02</v>
      </c>
      <c r="M19" s="192">
        <f t="shared" ref="M19" si="1">ROUND(+K19*L19,4)</f>
        <v>2.9999999999999997E-4</v>
      </c>
      <c r="N19" s="195">
        <f>ROUND(+M19/$M$108*100,2)</f>
        <v>0.27</v>
      </c>
      <c r="O19" s="196"/>
      <c r="P19" s="197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3"/>
      <c r="C20" s="193"/>
      <c r="D20" s="193"/>
      <c r="E20" s="193"/>
      <c r="F20" s="66" t="s">
        <v>80</v>
      </c>
      <c r="G20" s="67" t="str">
        <f>IF(E19&lt;0.125,"NA",IF(0.125&lt;=E19,(0.2*E19)))</f>
        <v>NA</v>
      </c>
      <c r="H20" s="68"/>
      <c r="I20" s="69"/>
      <c r="J20" s="70"/>
      <c r="K20" s="193"/>
      <c r="L20" s="193"/>
      <c r="M20" s="193"/>
      <c r="N20" s="193"/>
      <c r="O20" s="193"/>
      <c r="P20" s="198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3"/>
      <c r="C21" s="193"/>
      <c r="D21" s="193"/>
      <c r="E21" s="193"/>
      <c r="F21" s="66" t="s">
        <v>81</v>
      </c>
      <c r="G21" s="67">
        <f>+E19*0.4</f>
        <v>3.32E-2</v>
      </c>
      <c r="H21" s="68"/>
      <c r="I21" s="69"/>
      <c r="J21" s="70">
        <v>1.6E-2</v>
      </c>
      <c r="K21" s="193"/>
      <c r="L21" s="193"/>
      <c r="M21" s="193"/>
      <c r="N21" s="193"/>
      <c r="O21" s="193"/>
      <c r="P21" s="198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3"/>
      <c r="C22" s="193"/>
      <c r="D22" s="193"/>
      <c r="E22" s="193"/>
      <c r="F22" s="66" t="s">
        <v>82</v>
      </c>
      <c r="G22" s="67" t="str">
        <f>IF(E19&lt;0.125,"NA",IF(0.125&lt;=E19,(0.8*E19)))</f>
        <v>NA</v>
      </c>
      <c r="H22" s="68"/>
      <c r="I22" s="69"/>
      <c r="J22" s="70"/>
      <c r="K22" s="193"/>
      <c r="L22" s="193"/>
      <c r="M22" s="193"/>
      <c r="N22" s="193"/>
      <c r="O22" s="193"/>
      <c r="P22" s="198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4"/>
      <c r="C23" s="194"/>
      <c r="D23" s="194"/>
      <c r="E23" s="194"/>
      <c r="F23" s="71" t="s">
        <v>83</v>
      </c>
      <c r="G23" s="72">
        <f>+E19</f>
        <v>8.3000000000000004E-2</v>
      </c>
      <c r="H23" s="73"/>
      <c r="I23" s="74"/>
      <c r="J23" s="75"/>
      <c r="K23" s="194"/>
      <c r="L23" s="194"/>
      <c r="M23" s="194"/>
      <c r="N23" s="194"/>
      <c r="O23" s="194"/>
      <c r="P23" s="199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2">
        <v>2</v>
      </c>
      <c r="C24" s="215">
        <f>C19+$N$12</f>
        <v>0.65999999999999992</v>
      </c>
      <c r="D24" s="192">
        <v>7.9000000000000001E-2</v>
      </c>
      <c r="E24" s="192">
        <v>7.8E-2</v>
      </c>
      <c r="F24" s="61" t="s">
        <v>79</v>
      </c>
      <c r="G24" s="62">
        <v>0</v>
      </c>
      <c r="H24" s="63"/>
      <c r="I24" s="64"/>
      <c r="J24" s="65"/>
      <c r="K24" s="192">
        <f t="shared" ref="K24" si="2">+IF(E24&lt;=0.12,(J26),(IF(E24&lt;0.16,((J25+2*J26+J27)/4),IF(E24&gt;=0.16,((J24+3*J25+2*J26+3*J27+J28)/10)))))</f>
        <v>0.03</v>
      </c>
      <c r="L24" s="192">
        <f>ROUND(+(D19+D24)/2*(C24-C19),3)</f>
        <v>2.4E-2</v>
      </c>
      <c r="M24" s="192">
        <f t="shared" ref="M24" si="3">ROUND(+K24*L24,4)</f>
        <v>6.9999999999999999E-4</v>
      </c>
      <c r="N24" s="195">
        <f>ROUND(+M24/$M$108*100,2)</f>
        <v>0.64</v>
      </c>
      <c r="O24" s="196"/>
      <c r="P24" s="197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3"/>
      <c r="C25" s="193"/>
      <c r="D25" s="193"/>
      <c r="E25" s="193"/>
      <c r="F25" s="66" t="s">
        <v>80</v>
      </c>
      <c r="G25" s="67" t="str">
        <f t="shared" ref="G25" si="4">IF(E24&lt;0.125,"NA",IF(0.125&lt;=E24,(0.2*E24)))</f>
        <v>NA</v>
      </c>
      <c r="H25" s="68"/>
      <c r="I25" s="69"/>
      <c r="J25" s="70"/>
      <c r="K25" s="193"/>
      <c r="L25" s="193"/>
      <c r="M25" s="193"/>
      <c r="N25" s="193"/>
      <c r="O25" s="193"/>
      <c r="P25" s="198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3"/>
      <c r="C26" s="193"/>
      <c r="D26" s="193"/>
      <c r="E26" s="193"/>
      <c r="F26" s="66" t="s">
        <v>81</v>
      </c>
      <c r="G26" s="67">
        <f t="shared" ref="G26" si="5">+E24*0.4</f>
        <v>3.1200000000000002E-2</v>
      </c>
      <c r="H26" s="68"/>
      <c r="I26" s="69"/>
      <c r="J26" s="70">
        <v>0.03</v>
      </c>
      <c r="K26" s="193"/>
      <c r="L26" s="193"/>
      <c r="M26" s="193"/>
      <c r="N26" s="193"/>
      <c r="O26" s="193"/>
      <c r="P26" s="198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3"/>
      <c r="C27" s="193"/>
      <c r="D27" s="193"/>
      <c r="E27" s="193"/>
      <c r="F27" s="66" t="s">
        <v>82</v>
      </c>
      <c r="G27" s="67" t="str">
        <f t="shared" ref="G27" si="6">IF(E24&lt;0.125,"NA",IF(0.125&lt;=E24,(0.8*E24)))</f>
        <v>NA</v>
      </c>
      <c r="H27" s="68"/>
      <c r="I27" s="69"/>
      <c r="J27" s="70"/>
      <c r="K27" s="193"/>
      <c r="L27" s="193"/>
      <c r="M27" s="193"/>
      <c r="N27" s="193"/>
      <c r="O27" s="193"/>
      <c r="P27" s="198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4"/>
      <c r="C28" s="194"/>
      <c r="D28" s="194"/>
      <c r="E28" s="194"/>
      <c r="F28" s="71" t="s">
        <v>83</v>
      </c>
      <c r="G28" s="72">
        <f t="shared" ref="G28" si="7">+E24</f>
        <v>7.8E-2</v>
      </c>
      <c r="H28" s="73"/>
      <c r="I28" s="74"/>
      <c r="J28" s="75">
        <v>0.02</v>
      </c>
      <c r="K28" s="194"/>
      <c r="L28" s="194"/>
      <c r="M28" s="194"/>
      <c r="N28" s="194"/>
      <c r="O28" s="194"/>
      <c r="P28" s="199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2">
        <v>3</v>
      </c>
      <c r="C29" s="215">
        <f t="shared" ref="C29" si="8">C24+$N$12</f>
        <v>0.96</v>
      </c>
      <c r="D29" s="192">
        <v>7.6999999999999999E-2</v>
      </c>
      <c r="E29" s="192">
        <v>6.8000000000000005E-2</v>
      </c>
      <c r="F29" s="61" t="s">
        <v>79</v>
      </c>
      <c r="G29" s="62">
        <v>0</v>
      </c>
      <c r="H29" s="63"/>
      <c r="I29" s="64"/>
      <c r="J29" s="65">
        <v>0.34</v>
      </c>
      <c r="K29" s="192">
        <f t="shared" ref="K29" si="9">+IF(E29&lt;=0.12,(J31),(IF(E29&lt;0.16,((J30+2*J31+J32)/4),IF(E29&gt;=0.16,((J29+3*J30+2*J31+3*J32+J33)/10)))))</f>
        <v>0.38</v>
      </c>
      <c r="L29" s="192">
        <f>ROUND(+(D24+D29)/2*(C29-C24),3)</f>
        <v>2.3E-2</v>
      </c>
      <c r="M29" s="192">
        <f t="shared" ref="M29" si="10">ROUND(+K29*L29,4)</f>
        <v>8.6999999999999994E-3</v>
      </c>
      <c r="N29" s="195">
        <f>ROUND(+M29/$M$108*100,2)</f>
        <v>7.9</v>
      </c>
      <c r="O29" s="196"/>
      <c r="P29" s="197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3"/>
      <c r="C30" s="193"/>
      <c r="D30" s="193"/>
      <c r="E30" s="193"/>
      <c r="F30" s="66" t="s">
        <v>80</v>
      </c>
      <c r="G30" s="67" t="str">
        <f t="shared" ref="G30" si="11">IF(E29&lt;0.125,"NA",IF(0.125&lt;=E29,(0.2*E29)))</f>
        <v>NA</v>
      </c>
      <c r="H30" s="68"/>
      <c r="I30" s="69"/>
      <c r="J30" s="70"/>
      <c r="K30" s="193"/>
      <c r="L30" s="193"/>
      <c r="M30" s="193"/>
      <c r="N30" s="193"/>
      <c r="O30" s="193"/>
      <c r="P30" s="198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3"/>
      <c r="C31" s="193"/>
      <c r="D31" s="193"/>
      <c r="E31" s="193"/>
      <c r="F31" s="66" t="s">
        <v>81</v>
      </c>
      <c r="G31" s="67">
        <f t="shared" ref="G31" si="12">+E29*0.4</f>
        <v>2.7200000000000002E-2</v>
      </c>
      <c r="H31" s="68"/>
      <c r="I31" s="69"/>
      <c r="J31" s="70">
        <v>0.38</v>
      </c>
      <c r="K31" s="193"/>
      <c r="L31" s="193"/>
      <c r="M31" s="193"/>
      <c r="N31" s="193"/>
      <c r="O31" s="193"/>
      <c r="P31" s="198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3"/>
      <c r="C32" s="193"/>
      <c r="D32" s="193"/>
      <c r="E32" s="193"/>
      <c r="F32" s="66" t="s">
        <v>82</v>
      </c>
      <c r="G32" s="67" t="str">
        <f t="shared" ref="G32" si="13">IF(E29&lt;0.125,"NA",IF(0.125&lt;=E29,(0.8*E29)))</f>
        <v>NA</v>
      </c>
      <c r="H32" s="68"/>
      <c r="I32" s="69"/>
      <c r="J32" s="70"/>
      <c r="K32" s="193"/>
      <c r="L32" s="193"/>
      <c r="M32" s="193"/>
      <c r="N32" s="193"/>
      <c r="O32" s="193"/>
      <c r="P32" s="198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4"/>
      <c r="C33" s="194"/>
      <c r="D33" s="194"/>
      <c r="E33" s="194"/>
      <c r="F33" s="71" t="s">
        <v>83</v>
      </c>
      <c r="G33" s="72">
        <f t="shared" ref="G33" si="14">+E29</f>
        <v>6.8000000000000005E-2</v>
      </c>
      <c r="H33" s="73"/>
      <c r="I33" s="74"/>
      <c r="J33" s="75"/>
      <c r="K33" s="194"/>
      <c r="L33" s="194"/>
      <c r="M33" s="194"/>
      <c r="N33" s="194"/>
      <c r="O33" s="194"/>
      <c r="P33" s="199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2">
        <v>4</v>
      </c>
      <c r="C34" s="215">
        <f t="shared" ref="C34" si="15">C29+$N$12</f>
        <v>1.26</v>
      </c>
      <c r="D34" s="192">
        <v>7.5999999999999998E-2</v>
      </c>
      <c r="E34" s="192">
        <v>7.1999999999999995E-2</v>
      </c>
      <c r="F34" s="61" t="s">
        <v>79</v>
      </c>
      <c r="G34" s="62">
        <v>0</v>
      </c>
      <c r="H34" s="63"/>
      <c r="I34" s="64"/>
      <c r="J34" s="65">
        <v>3.2000000000000001E-2</v>
      </c>
      <c r="K34" s="192">
        <f t="shared" ref="K34" si="16">+IF(E34&lt;=0.12,(J36),(IF(E34&lt;0.16,((J35+2*J36+J37)/4),IF(E34&gt;=0.16,((J34+3*J35+2*J36+3*J37+J38)/10)))))</f>
        <v>0.39</v>
      </c>
      <c r="L34" s="192">
        <f t="shared" ref="L34" si="17">ROUND(+(D29+D34)/2*(C34-C29),3)</f>
        <v>2.3E-2</v>
      </c>
      <c r="M34" s="192">
        <f t="shared" ref="M34" si="18">ROUND(+K34*L34,4)</f>
        <v>8.9999999999999993E-3</v>
      </c>
      <c r="N34" s="195">
        <f>ROUND(+M34/$M$108*100,2)</f>
        <v>8.17</v>
      </c>
      <c r="O34" s="196"/>
      <c r="P34" s="197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3"/>
      <c r="C35" s="193"/>
      <c r="D35" s="193"/>
      <c r="E35" s="193"/>
      <c r="F35" s="66" t="s">
        <v>80</v>
      </c>
      <c r="G35" s="67" t="str">
        <f t="shared" ref="G35" si="19">IF(E34&lt;0.125,"NA",IF(0.125&lt;=E34,(0.2*E34)))</f>
        <v>NA</v>
      </c>
      <c r="H35" s="68"/>
      <c r="I35" s="69"/>
      <c r="J35" s="70"/>
      <c r="K35" s="193"/>
      <c r="L35" s="193"/>
      <c r="M35" s="193"/>
      <c r="N35" s="193"/>
      <c r="O35" s="193"/>
      <c r="P35" s="198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3"/>
      <c r="C36" s="193"/>
      <c r="D36" s="193"/>
      <c r="E36" s="193"/>
      <c r="F36" s="66" t="s">
        <v>81</v>
      </c>
      <c r="G36" s="67">
        <f t="shared" ref="G36" si="20">+E34*0.4</f>
        <v>2.8799999999999999E-2</v>
      </c>
      <c r="H36" s="68"/>
      <c r="I36" s="69"/>
      <c r="J36" s="70">
        <v>0.39</v>
      </c>
      <c r="K36" s="193"/>
      <c r="L36" s="193"/>
      <c r="M36" s="193"/>
      <c r="N36" s="193"/>
      <c r="O36" s="193"/>
      <c r="P36" s="198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3"/>
      <c r="C37" s="193"/>
      <c r="D37" s="193"/>
      <c r="E37" s="193"/>
      <c r="F37" s="66" t="s">
        <v>82</v>
      </c>
      <c r="G37" s="67" t="str">
        <f t="shared" ref="G37" si="21">IF(E34&lt;0.125,"NA",IF(0.125&lt;=E34,(0.8*E34)))</f>
        <v>NA</v>
      </c>
      <c r="H37" s="68"/>
      <c r="I37" s="69"/>
      <c r="J37" s="70"/>
      <c r="K37" s="193"/>
      <c r="L37" s="193"/>
      <c r="M37" s="193"/>
      <c r="N37" s="193"/>
      <c r="O37" s="193"/>
      <c r="P37" s="198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4"/>
      <c r="C38" s="194"/>
      <c r="D38" s="194"/>
      <c r="E38" s="194"/>
      <c r="F38" s="71" t="s">
        <v>83</v>
      </c>
      <c r="G38" s="72">
        <f t="shared" ref="G38" si="22">+E34</f>
        <v>7.1999999999999995E-2</v>
      </c>
      <c r="H38" s="73"/>
      <c r="I38" s="74"/>
      <c r="J38" s="75"/>
      <c r="K38" s="194"/>
      <c r="L38" s="194"/>
      <c r="M38" s="194"/>
      <c r="N38" s="194"/>
      <c r="O38" s="194"/>
      <c r="P38" s="199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2">
        <v>5</v>
      </c>
      <c r="C39" s="215">
        <f t="shared" ref="C39" si="23">C34+$N$12</f>
        <v>1.56</v>
      </c>
      <c r="D39" s="192">
        <v>7.6999999999999999E-2</v>
      </c>
      <c r="E39" s="192">
        <v>7.4999999999999997E-2</v>
      </c>
      <c r="F39" s="61" t="s">
        <v>79</v>
      </c>
      <c r="G39" s="62">
        <v>0</v>
      </c>
      <c r="H39" s="63"/>
      <c r="I39" s="64"/>
      <c r="J39" s="65">
        <v>0.23899999999999999</v>
      </c>
      <c r="K39" s="192">
        <f t="shared" ref="K39" si="24">+IF(E39&lt;=0.12,(J41),(IF(E39&lt;0.16,((J40+2*J41+J42)/4),IF(E39&gt;=0.16,((J39+3*J40+2*J41+3*J42+J43)/10)))))</f>
        <v>0.30199999999999999</v>
      </c>
      <c r="L39" s="192">
        <f t="shared" ref="L39" si="25">ROUND(+(D34+D39)/2*(C39-C34),3)</f>
        <v>2.3E-2</v>
      </c>
      <c r="M39" s="192">
        <f t="shared" ref="M39" si="26">ROUND(+K39*L39,4)</f>
        <v>6.8999999999999999E-3</v>
      </c>
      <c r="N39" s="195">
        <f>ROUND(+M39/$M$108*100,2)</f>
        <v>6.27</v>
      </c>
      <c r="O39" s="196"/>
      <c r="P39" s="197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3"/>
      <c r="C40" s="193"/>
      <c r="D40" s="193"/>
      <c r="E40" s="193"/>
      <c r="F40" s="66" t="s">
        <v>80</v>
      </c>
      <c r="G40" s="67" t="str">
        <f t="shared" ref="G40" si="27">IF(E39&lt;0.125,"NA",IF(0.125&lt;=E39,(0.2*E39)))</f>
        <v>NA</v>
      </c>
      <c r="H40" s="68"/>
      <c r="I40" s="69"/>
      <c r="J40" s="70"/>
      <c r="K40" s="193"/>
      <c r="L40" s="193"/>
      <c r="M40" s="193"/>
      <c r="N40" s="193"/>
      <c r="O40" s="193"/>
      <c r="P40" s="198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3"/>
      <c r="C41" s="193"/>
      <c r="D41" s="193"/>
      <c r="E41" s="193"/>
      <c r="F41" s="66" t="s">
        <v>81</v>
      </c>
      <c r="G41" s="67">
        <f t="shared" ref="G41" si="28">+E39*0.4</f>
        <v>0.03</v>
      </c>
      <c r="H41" s="68"/>
      <c r="I41" s="69"/>
      <c r="J41" s="70">
        <v>0.30199999999999999</v>
      </c>
      <c r="K41" s="193"/>
      <c r="L41" s="193"/>
      <c r="M41" s="193"/>
      <c r="N41" s="193"/>
      <c r="O41" s="193"/>
      <c r="P41" s="198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3"/>
      <c r="C42" s="193"/>
      <c r="D42" s="193"/>
      <c r="E42" s="193"/>
      <c r="F42" s="66" t="s">
        <v>82</v>
      </c>
      <c r="G42" s="67" t="str">
        <f t="shared" ref="G42" si="29">IF(E39&lt;0.125,"NA",IF(0.125&lt;=E39,(0.8*E39)))</f>
        <v>NA</v>
      </c>
      <c r="H42" s="68"/>
      <c r="I42" s="69"/>
      <c r="J42" s="70"/>
      <c r="K42" s="193"/>
      <c r="L42" s="193"/>
      <c r="M42" s="193"/>
      <c r="N42" s="193"/>
      <c r="O42" s="193"/>
      <c r="P42" s="198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4"/>
      <c r="C43" s="194"/>
      <c r="D43" s="194"/>
      <c r="E43" s="194"/>
      <c r="F43" s="71" t="s">
        <v>83</v>
      </c>
      <c r="G43" s="72">
        <f t="shared" ref="G43" si="30">+E39</f>
        <v>7.4999999999999997E-2</v>
      </c>
      <c r="H43" s="73"/>
      <c r="I43" s="74"/>
      <c r="J43" s="75">
        <v>0.28399999999999997</v>
      </c>
      <c r="K43" s="194"/>
      <c r="L43" s="194"/>
      <c r="M43" s="194"/>
      <c r="N43" s="194"/>
      <c r="O43" s="194"/>
      <c r="P43" s="199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2">
        <v>6</v>
      </c>
      <c r="C44" s="215">
        <f t="shared" ref="C44" si="31">C39+$N$12</f>
        <v>1.86</v>
      </c>
      <c r="D44" s="192">
        <v>8.6999999999999994E-2</v>
      </c>
      <c r="E44" s="192">
        <v>8.1000000000000003E-2</v>
      </c>
      <c r="F44" s="61" t="s">
        <v>79</v>
      </c>
      <c r="G44" s="62">
        <v>0</v>
      </c>
      <c r="H44" s="63"/>
      <c r="I44" s="64"/>
      <c r="J44" s="65">
        <v>5.5E-2</v>
      </c>
      <c r="K44" s="192">
        <f t="shared" ref="K44" si="32">+IF(E44&lt;=0.12,(J46),(IF(E44&lt;0.16,((J45+2*J46+J47)/4),IF(E44&gt;=0.16,((J44+3*J45+2*J46+3*J47+J48)/10)))))</f>
        <v>0.214</v>
      </c>
      <c r="L44" s="192">
        <f t="shared" ref="L44" si="33">ROUND(+(D39+D44)/2*(C44-C39),3)</f>
        <v>2.5000000000000001E-2</v>
      </c>
      <c r="M44" s="192">
        <f t="shared" ref="M44" si="34">ROUND(+K44*L44,4)</f>
        <v>5.4000000000000003E-3</v>
      </c>
      <c r="N44" s="195">
        <f>ROUND(+M44/$M$108*100,2)</f>
        <v>4.9000000000000004</v>
      </c>
      <c r="O44" s="196"/>
      <c r="P44" s="197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3"/>
      <c r="C45" s="193"/>
      <c r="D45" s="193"/>
      <c r="E45" s="193"/>
      <c r="F45" s="66" t="s">
        <v>80</v>
      </c>
      <c r="G45" s="67" t="str">
        <f t="shared" ref="G45" si="35">IF(E44&lt;0.125,"NA",IF(0.125&lt;=E44,(0.2*E44)))</f>
        <v>NA</v>
      </c>
      <c r="H45" s="68"/>
      <c r="I45" s="69"/>
      <c r="J45" s="70"/>
      <c r="K45" s="193"/>
      <c r="L45" s="193"/>
      <c r="M45" s="193"/>
      <c r="N45" s="193"/>
      <c r="O45" s="193"/>
      <c r="P45" s="198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3"/>
      <c r="C46" s="193"/>
      <c r="D46" s="193"/>
      <c r="E46" s="193"/>
      <c r="F46" s="66" t="s">
        <v>81</v>
      </c>
      <c r="G46" s="67">
        <f t="shared" ref="G46" si="36">+E44*0.4</f>
        <v>3.2400000000000005E-2</v>
      </c>
      <c r="H46" s="68"/>
      <c r="I46" s="69"/>
      <c r="J46" s="70">
        <v>0.214</v>
      </c>
      <c r="K46" s="193"/>
      <c r="L46" s="193"/>
      <c r="M46" s="193"/>
      <c r="N46" s="193"/>
      <c r="O46" s="193"/>
      <c r="P46" s="198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3"/>
      <c r="C47" s="193"/>
      <c r="D47" s="193"/>
      <c r="E47" s="193"/>
      <c r="F47" s="66" t="s">
        <v>82</v>
      </c>
      <c r="G47" s="67" t="str">
        <f t="shared" ref="G47" si="37">IF(E44&lt;0.125,"NA",IF(0.125&lt;=E44,(0.8*E44)))</f>
        <v>NA</v>
      </c>
      <c r="H47" s="68"/>
      <c r="I47" s="69"/>
      <c r="J47" s="70"/>
      <c r="K47" s="193"/>
      <c r="L47" s="193"/>
      <c r="M47" s="193"/>
      <c r="N47" s="193"/>
      <c r="O47" s="193"/>
      <c r="P47" s="198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4"/>
      <c r="C48" s="194"/>
      <c r="D48" s="194"/>
      <c r="E48" s="194"/>
      <c r="F48" s="71" t="s">
        <v>83</v>
      </c>
      <c r="G48" s="72">
        <f t="shared" ref="G48" si="38">+E44</f>
        <v>8.1000000000000003E-2</v>
      </c>
      <c r="H48" s="73"/>
      <c r="I48" s="74"/>
      <c r="J48" s="75">
        <v>0.111</v>
      </c>
      <c r="K48" s="194"/>
      <c r="L48" s="194"/>
      <c r="M48" s="194"/>
      <c r="N48" s="194"/>
      <c r="O48" s="194"/>
      <c r="P48" s="199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2">
        <v>7</v>
      </c>
      <c r="C49" s="215">
        <f t="shared" ref="C49" si="39">C44+$N$12</f>
        <v>2.16</v>
      </c>
      <c r="D49" s="192">
        <v>9.8000000000000004E-2</v>
      </c>
      <c r="E49" s="192">
        <v>9.5000000000000001E-2</v>
      </c>
      <c r="F49" s="61" t="s">
        <v>79</v>
      </c>
      <c r="G49" s="62">
        <v>0</v>
      </c>
      <c r="H49" s="63"/>
      <c r="I49" s="64"/>
      <c r="J49" s="65">
        <v>5.6000000000000001E-2</v>
      </c>
      <c r="K49" s="192">
        <f t="shared" ref="K49" si="40">+IF(E49&lt;=0.12,(J51),(IF(E49&lt;0.16,((J50+2*J51+J52)/4),IF(E49&gt;=0.16,((J49+3*J50+2*J51+3*J52+J53)/10)))))</f>
        <v>7.4999999999999997E-2</v>
      </c>
      <c r="L49" s="192">
        <f t="shared" ref="L49" si="41">ROUND(+(D44+D49)/2*(C49-C44),3)</f>
        <v>2.8000000000000001E-2</v>
      </c>
      <c r="M49" s="192">
        <f t="shared" ref="M49" si="42">ROUND(+K49*L49,4)</f>
        <v>2.0999999999999999E-3</v>
      </c>
      <c r="N49" s="195">
        <f>ROUND(+M49/$M$108*100,2)</f>
        <v>1.91</v>
      </c>
      <c r="O49" s="196"/>
      <c r="P49" s="197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3"/>
      <c r="C50" s="193"/>
      <c r="D50" s="193"/>
      <c r="E50" s="193"/>
      <c r="F50" s="66" t="s">
        <v>80</v>
      </c>
      <c r="G50" s="67" t="str">
        <f t="shared" ref="G50" si="43">IF(E49&lt;0.125,"NA",IF(0.125&lt;=E49,(0.2*E49)))</f>
        <v>NA</v>
      </c>
      <c r="H50" s="68"/>
      <c r="I50" s="69"/>
      <c r="J50" s="70"/>
      <c r="K50" s="193"/>
      <c r="L50" s="193"/>
      <c r="M50" s="193"/>
      <c r="N50" s="193"/>
      <c r="O50" s="193"/>
      <c r="P50" s="198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3"/>
      <c r="C51" s="193"/>
      <c r="D51" s="193"/>
      <c r="E51" s="193"/>
      <c r="F51" s="66" t="s">
        <v>81</v>
      </c>
      <c r="G51" s="67">
        <f t="shared" ref="G51" si="44">+E49*0.4</f>
        <v>3.8000000000000006E-2</v>
      </c>
      <c r="H51" s="68"/>
      <c r="I51" s="69"/>
      <c r="J51" s="70">
        <v>7.4999999999999997E-2</v>
      </c>
      <c r="K51" s="193"/>
      <c r="L51" s="193"/>
      <c r="M51" s="193"/>
      <c r="N51" s="193"/>
      <c r="O51" s="193"/>
      <c r="P51" s="198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3"/>
      <c r="C52" s="193"/>
      <c r="D52" s="193"/>
      <c r="E52" s="193"/>
      <c r="F52" s="66" t="s">
        <v>82</v>
      </c>
      <c r="G52" s="67" t="str">
        <f t="shared" ref="G52" si="45">IF(E49&lt;0.125,"NA",IF(0.125&lt;=E49,(0.8*E49)))</f>
        <v>NA</v>
      </c>
      <c r="H52" s="68"/>
      <c r="I52" s="69"/>
      <c r="J52" s="70"/>
      <c r="K52" s="193"/>
      <c r="L52" s="193"/>
      <c r="M52" s="193"/>
      <c r="N52" s="193"/>
      <c r="O52" s="193"/>
      <c r="P52" s="198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4"/>
      <c r="C53" s="194"/>
      <c r="D53" s="194"/>
      <c r="E53" s="194"/>
      <c r="F53" s="71" t="s">
        <v>83</v>
      </c>
      <c r="G53" s="72">
        <f t="shared" ref="G53" si="46">+E49</f>
        <v>9.5000000000000001E-2</v>
      </c>
      <c r="H53" s="73"/>
      <c r="I53" s="74"/>
      <c r="J53" s="75">
        <v>9.7000000000000003E-2</v>
      </c>
      <c r="K53" s="194"/>
      <c r="L53" s="194"/>
      <c r="M53" s="194"/>
      <c r="N53" s="194"/>
      <c r="O53" s="194"/>
      <c r="P53" s="199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2">
        <v>8</v>
      </c>
      <c r="C54" s="215">
        <f t="shared" ref="C54" si="47">C49+$N$12</f>
        <v>2.46</v>
      </c>
      <c r="D54" s="192">
        <v>0.107</v>
      </c>
      <c r="E54" s="192">
        <v>9.9000000000000005E-2</v>
      </c>
      <c r="F54" s="61" t="s">
        <v>79</v>
      </c>
      <c r="G54" s="62">
        <v>0</v>
      </c>
      <c r="H54" s="63"/>
      <c r="I54" s="64"/>
      <c r="J54" s="65">
        <v>2.9000000000000001E-2</v>
      </c>
      <c r="K54" s="192">
        <f t="shared" ref="K54" si="48">+IF(E54&lt;=0.12,(J56),(IF(E54&lt;0.16,((J55+2*J56+J57)/4),IF(E54&gt;=0.16,((J54+3*J55+2*J56+3*J57+J58)/10)))))</f>
        <v>0.108</v>
      </c>
      <c r="L54" s="192">
        <f t="shared" ref="L54" si="49">ROUND(+(D49+D54)/2*(C54-C49),3)</f>
        <v>3.1E-2</v>
      </c>
      <c r="M54" s="192">
        <f t="shared" ref="M54" si="50">ROUND(+K54*L54,4)</f>
        <v>3.3E-3</v>
      </c>
      <c r="N54" s="195">
        <f>ROUND(+M54/$M$108*100,2)</f>
        <v>3</v>
      </c>
      <c r="O54" s="196"/>
      <c r="P54" s="197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3"/>
      <c r="C55" s="193"/>
      <c r="D55" s="193"/>
      <c r="E55" s="193"/>
      <c r="F55" s="66" t="s">
        <v>80</v>
      </c>
      <c r="G55" s="67" t="str">
        <f t="shared" ref="G55" si="51">IF(E54&lt;0.125,"NA",IF(0.125&lt;=E54,(0.2*E54)))</f>
        <v>NA</v>
      </c>
      <c r="H55" s="68"/>
      <c r="I55" s="69"/>
      <c r="J55" s="70"/>
      <c r="K55" s="193"/>
      <c r="L55" s="193"/>
      <c r="M55" s="193"/>
      <c r="N55" s="193"/>
      <c r="O55" s="193"/>
      <c r="P55" s="198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3"/>
      <c r="C56" s="193"/>
      <c r="D56" s="193"/>
      <c r="E56" s="193"/>
      <c r="F56" s="66" t="s">
        <v>81</v>
      </c>
      <c r="G56" s="67">
        <f t="shared" ref="G56" si="52">+E54*0.4</f>
        <v>3.9600000000000003E-2</v>
      </c>
      <c r="H56" s="68"/>
      <c r="I56" s="69"/>
      <c r="J56" s="70">
        <v>0.108</v>
      </c>
      <c r="K56" s="193"/>
      <c r="L56" s="193"/>
      <c r="M56" s="193"/>
      <c r="N56" s="193"/>
      <c r="O56" s="193"/>
      <c r="P56" s="198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3"/>
      <c r="C57" s="193"/>
      <c r="D57" s="193"/>
      <c r="E57" s="193"/>
      <c r="F57" s="66" t="s">
        <v>82</v>
      </c>
      <c r="G57" s="67" t="str">
        <f t="shared" ref="G57" si="53">IF(E54&lt;0.125,"NA",IF(0.125&lt;=E54,(0.8*E54)))</f>
        <v>NA</v>
      </c>
      <c r="H57" s="68"/>
      <c r="I57" s="69"/>
      <c r="J57" s="70"/>
      <c r="K57" s="193"/>
      <c r="L57" s="193"/>
      <c r="M57" s="193"/>
      <c r="N57" s="193"/>
      <c r="O57" s="193"/>
      <c r="P57" s="198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4"/>
      <c r="C58" s="194"/>
      <c r="D58" s="194"/>
      <c r="E58" s="194"/>
      <c r="F58" s="71" t="s">
        <v>83</v>
      </c>
      <c r="G58" s="72">
        <f t="shared" ref="G58" si="54">+E54</f>
        <v>9.9000000000000005E-2</v>
      </c>
      <c r="H58" s="73"/>
      <c r="I58" s="74"/>
      <c r="J58" s="75">
        <v>9.9000000000000005E-2</v>
      </c>
      <c r="K58" s="194"/>
      <c r="L58" s="194"/>
      <c r="M58" s="194"/>
      <c r="N58" s="194"/>
      <c r="O58" s="194"/>
      <c r="P58" s="199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60" customFormat="1" ht="13.5" customHeight="1" x14ac:dyDescent="0.25">
      <c r="A59" s="52"/>
      <c r="B59" s="212">
        <v>9</v>
      </c>
      <c r="C59" s="215">
        <f t="shared" ref="C59" si="55">C54+$N$12</f>
        <v>2.76</v>
      </c>
      <c r="D59" s="192">
        <v>9.6000000000000002E-2</v>
      </c>
      <c r="E59" s="192">
        <v>0.105</v>
      </c>
      <c r="F59" s="61" t="s">
        <v>79</v>
      </c>
      <c r="G59" s="62">
        <v>0</v>
      </c>
      <c r="H59" s="63"/>
      <c r="I59" s="64"/>
      <c r="J59" s="65">
        <v>2.3E-2</v>
      </c>
      <c r="K59" s="192">
        <f t="shared" ref="K59" si="56">+IF(E59&lt;=0.12,(J61),(IF(E59&lt;0.16,((J60+2*J61+J62)/4),IF(E59&gt;=0.16,((J59+3*J60+2*J61+3*J62+J63)/10)))))</f>
        <v>6.0999999999999999E-2</v>
      </c>
      <c r="L59" s="192">
        <f t="shared" ref="L59" si="57">ROUND(+(D54+D59)/2*(C59-C54),3)</f>
        <v>0.03</v>
      </c>
      <c r="M59" s="192">
        <f t="shared" ref="M59" si="58">ROUND(+K59*L59,4)</f>
        <v>1.8E-3</v>
      </c>
      <c r="N59" s="195">
        <f>ROUND(+M59/$M$108*100,2)</f>
        <v>1.63</v>
      </c>
      <c r="O59" s="196"/>
      <c r="P59" s="197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60" customFormat="1" ht="13.5" customHeight="1" x14ac:dyDescent="0.25">
      <c r="A60" s="52"/>
      <c r="B60" s="213"/>
      <c r="C60" s="193"/>
      <c r="D60" s="193"/>
      <c r="E60" s="193"/>
      <c r="F60" s="66" t="s">
        <v>80</v>
      </c>
      <c r="G60" s="67" t="str">
        <f t="shared" ref="G60" si="59">IF(E59&lt;0.125,"NA",IF(0.125&lt;=E59,(0.2*E59)))</f>
        <v>NA</v>
      </c>
      <c r="H60" s="68"/>
      <c r="I60" s="69"/>
      <c r="J60" s="70"/>
      <c r="K60" s="193"/>
      <c r="L60" s="193"/>
      <c r="M60" s="193"/>
      <c r="N60" s="193"/>
      <c r="O60" s="193"/>
      <c r="P60" s="198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s="60" customFormat="1" ht="13.5" customHeight="1" x14ac:dyDescent="0.25">
      <c r="A61" s="52"/>
      <c r="B61" s="213"/>
      <c r="C61" s="193"/>
      <c r="D61" s="193"/>
      <c r="E61" s="193"/>
      <c r="F61" s="66" t="s">
        <v>81</v>
      </c>
      <c r="G61" s="67">
        <f t="shared" ref="G61" si="60">+E59*0.4</f>
        <v>4.2000000000000003E-2</v>
      </c>
      <c r="H61" s="68"/>
      <c r="I61" s="69"/>
      <c r="J61" s="70">
        <v>6.0999999999999999E-2</v>
      </c>
      <c r="K61" s="193"/>
      <c r="L61" s="193"/>
      <c r="M61" s="193"/>
      <c r="N61" s="193"/>
      <c r="O61" s="193"/>
      <c r="P61" s="198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60" customFormat="1" ht="13.5" customHeight="1" x14ac:dyDescent="0.25">
      <c r="A62" s="52"/>
      <c r="B62" s="213"/>
      <c r="C62" s="193"/>
      <c r="D62" s="193"/>
      <c r="E62" s="193"/>
      <c r="F62" s="66" t="s">
        <v>82</v>
      </c>
      <c r="G62" s="67" t="str">
        <f t="shared" ref="G62" si="61">IF(E59&lt;0.125,"NA",IF(0.125&lt;=E59,(0.8*E59)))</f>
        <v>NA</v>
      </c>
      <c r="H62" s="68"/>
      <c r="I62" s="69"/>
      <c r="J62" s="70"/>
      <c r="K62" s="193"/>
      <c r="L62" s="193"/>
      <c r="M62" s="193"/>
      <c r="N62" s="193"/>
      <c r="O62" s="193"/>
      <c r="P62" s="198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60" customFormat="1" ht="13.5" customHeight="1" thickBot="1" x14ac:dyDescent="0.3">
      <c r="A63" s="52"/>
      <c r="B63" s="214"/>
      <c r="C63" s="194"/>
      <c r="D63" s="194"/>
      <c r="E63" s="194"/>
      <c r="F63" s="71" t="s">
        <v>83</v>
      </c>
      <c r="G63" s="72">
        <f t="shared" ref="G63" si="62">+E59</f>
        <v>0.105</v>
      </c>
      <c r="H63" s="73"/>
      <c r="I63" s="74"/>
      <c r="J63" s="75">
        <v>8.2000000000000003E-2</v>
      </c>
      <c r="K63" s="194"/>
      <c r="L63" s="194"/>
      <c r="M63" s="194"/>
      <c r="N63" s="194"/>
      <c r="O63" s="194"/>
      <c r="P63" s="199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s="60" customFormat="1" ht="13.5" customHeight="1" x14ac:dyDescent="0.25">
      <c r="A64" s="52"/>
      <c r="B64" s="212">
        <v>10</v>
      </c>
      <c r="C64" s="215">
        <f t="shared" ref="C64" si="63">C59+$N$12</f>
        <v>3.0599999999999996</v>
      </c>
      <c r="D64" s="192">
        <v>9.1999999999999998E-2</v>
      </c>
      <c r="E64" s="192">
        <v>8.1000000000000003E-2</v>
      </c>
      <c r="F64" s="61" t="s">
        <v>79</v>
      </c>
      <c r="G64" s="62">
        <v>0</v>
      </c>
      <c r="H64" s="63"/>
      <c r="I64" s="64"/>
      <c r="J64" s="65">
        <v>0.33400000000000002</v>
      </c>
      <c r="K64" s="192">
        <f t="shared" ref="K64" si="64">+IF(E64&lt;=0.12,(J66),(IF(E64&lt;0.16,((J65+2*J66+J67)/4),IF(E64&gt;=0.16,((J64+3*J65+2*J66+3*J67+J68)/10)))))</f>
        <v>0.54700000000000004</v>
      </c>
      <c r="L64" s="192">
        <f t="shared" ref="L64" si="65">ROUND(+(D59+D64)/2*(C64-C59),3)</f>
        <v>2.8000000000000001E-2</v>
      </c>
      <c r="M64" s="192">
        <f t="shared" ref="M64" si="66">ROUND(+K64*L64,4)</f>
        <v>1.5299999999999999E-2</v>
      </c>
      <c r="N64" s="195">
        <f>ROUND(+M64/$M$108*100,2)</f>
        <v>13.9</v>
      </c>
      <c r="O64" s="196"/>
      <c r="P64" s="197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s="60" customFormat="1" ht="13.5" customHeight="1" x14ac:dyDescent="0.25">
      <c r="A65" s="52"/>
      <c r="B65" s="213"/>
      <c r="C65" s="193"/>
      <c r="D65" s="193"/>
      <c r="E65" s="193"/>
      <c r="F65" s="66" t="s">
        <v>80</v>
      </c>
      <c r="G65" s="67" t="str">
        <f t="shared" ref="G65" si="67">IF(E64&lt;0.125,"NA",IF(0.125&lt;=E64,(0.2*E64)))</f>
        <v>NA</v>
      </c>
      <c r="H65" s="68"/>
      <c r="I65" s="69"/>
      <c r="J65" s="70"/>
      <c r="K65" s="193"/>
      <c r="L65" s="193"/>
      <c r="M65" s="193"/>
      <c r="N65" s="193"/>
      <c r="O65" s="193"/>
      <c r="P65" s="198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s="60" customFormat="1" ht="13.5" customHeight="1" x14ac:dyDescent="0.25">
      <c r="A66" s="52"/>
      <c r="B66" s="213"/>
      <c r="C66" s="193"/>
      <c r="D66" s="193"/>
      <c r="E66" s="193"/>
      <c r="F66" s="66" t="s">
        <v>81</v>
      </c>
      <c r="G66" s="67">
        <f t="shared" ref="G66" si="68">+E64*0.4</f>
        <v>3.2400000000000005E-2</v>
      </c>
      <c r="H66" s="68"/>
      <c r="I66" s="69"/>
      <c r="J66" s="70">
        <v>0.54700000000000004</v>
      </c>
      <c r="K66" s="193"/>
      <c r="L66" s="193"/>
      <c r="M66" s="193"/>
      <c r="N66" s="193"/>
      <c r="O66" s="193"/>
      <c r="P66" s="198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s="60" customFormat="1" ht="13.5" customHeight="1" x14ac:dyDescent="0.25">
      <c r="A67" s="52"/>
      <c r="B67" s="213"/>
      <c r="C67" s="193"/>
      <c r="D67" s="193"/>
      <c r="E67" s="193"/>
      <c r="F67" s="66" t="s">
        <v>82</v>
      </c>
      <c r="G67" s="67" t="str">
        <f t="shared" ref="G67" si="69">IF(E64&lt;0.125,"NA",IF(0.125&lt;=E64,(0.8*E64)))</f>
        <v>NA</v>
      </c>
      <c r="H67" s="68"/>
      <c r="I67" s="69"/>
      <c r="J67" s="70"/>
      <c r="K67" s="193"/>
      <c r="L67" s="193"/>
      <c r="M67" s="193"/>
      <c r="N67" s="193"/>
      <c r="O67" s="193"/>
      <c r="P67" s="198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s="60" customFormat="1" ht="13.5" customHeight="1" thickBot="1" x14ac:dyDescent="0.3">
      <c r="A68" s="52"/>
      <c r="B68" s="214"/>
      <c r="C68" s="194"/>
      <c r="D68" s="194"/>
      <c r="E68" s="194"/>
      <c r="F68" s="71" t="s">
        <v>83</v>
      </c>
      <c r="G68" s="72">
        <f t="shared" ref="G68" si="70">+E64</f>
        <v>8.1000000000000003E-2</v>
      </c>
      <c r="H68" s="73"/>
      <c r="I68" s="74"/>
      <c r="J68" s="75">
        <v>0.753</v>
      </c>
      <c r="K68" s="194"/>
      <c r="L68" s="194"/>
      <c r="M68" s="194"/>
      <c r="N68" s="194"/>
      <c r="O68" s="194"/>
      <c r="P68" s="199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s="60" customFormat="1" ht="13.5" customHeight="1" x14ac:dyDescent="0.25">
      <c r="A69" s="52"/>
      <c r="B69" s="212">
        <v>11</v>
      </c>
      <c r="C69" s="215">
        <f t="shared" ref="C69" si="71">C64+$N$12</f>
        <v>3.3599999999999994</v>
      </c>
      <c r="D69" s="192">
        <v>9.7000000000000003E-2</v>
      </c>
      <c r="E69" s="192">
        <v>9.6000000000000002E-2</v>
      </c>
      <c r="F69" s="61" t="s">
        <v>79</v>
      </c>
      <c r="G69" s="62">
        <v>0</v>
      </c>
      <c r="H69" s="63"/>
      <c r="I69" s="64"/>
      <c r="J69" s="65">
        <v>0.34899999999999998</v>
      </c>
      <c r="K69" s="192">
        <f t="shared" ref="K69" si="72">+IF(E69&lt;=0.12,(J71),(IF(E69&lt;0.16,((J70+2*J71+J72)/4),IF(E69&gt;=0.16,((J69+3*J70+2*J71+3*J72+J73)/10)))))</f>
        <v>0.81100000000000005</v>
      </c>
      <c r="L69" s="192">
        <f t="shared" ref="L69" si="73">ROUND(+(D64+D69)/2*(C69-C64),3)</f>
        <v>2.8000000000000001E-2</v>
      </c>
      <c r="M69" s="192">
        <f t="shared" ref="M69" si="74">ROUND(+K69*L69,4)</f>
        <v>2.2700000000000001E-2</v>
      </c>
      <c r="N69" s="195">
        <f>ROUND(+M69/$M$108*100,2)</f>
        <v>20.62</v>
      </c>
      <c r="O69" s="196"/>
      <c r="P69" s="197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s="60" customFormat="1" ht="13.5" customHeight="1" x14ac:dyDescent="0.25">
      <c r="A70" s="52"/>
      <c r="B70" s="213"/>
      <c r="C70" s="193"/>
      <c r="D70" s="193"/>
      <c r="E70" s="193"/>
      <c r="F70" s="66" t="s">
        <v>80</v>
      </c>
      <c r="G70" s="67" t="str">
        <f t="shared" ref="G70" si="75">IF(E69&lt;0.125,"NA",IF(0.125&lt;=E69,(0.2*E69)))</f>
        <v>NA</v>
      </c>
      <c r="H70" s="68"/>
      <c r="I70" s="69"/>
      <c r="J70" s="70"/>
      <c r="K70" s="193"/>
      <c r="L70" s="193"/>
      <c r="M70" s="193"/>
      <c r="N70" s="193"/>
      <c r="O70" s="193"/>
      <c r="P70" s="198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s="60" customFormat="1" ht="13.5" customHeight="1" x14ac:dyDescent="0.25">
      <c r="A71" s="52"/>
      <c r="B71" s="213"/>
      <c r="C71" s="193"/>
      <c r="D71" s="193"/>
      <c r="E71" s="193"/>
      <c r="F71" s="66" t="s">
        <v>81</v>
      </c>
      <c r="G71" s="67">
        <f t="shared" ref="G71" si="76">+E69*0.4</f>
        <v>3.8400000000000004E-2</v>
      </c>
      <c r="H71" s="68"/>
      <c r="I71" s="69"/>
      <c r="J71" s="70">
        <v>0.81100000000000005</v>
      </c>
      <c r="K71" s="193"/>
      <c r="L71" s="193"/>
      <c r="M71" s="193"/>
      <c r="N71" s="193"/>
      <c r="O71" s="193"/>
      <c r="P71" s="198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s="60" customFormat="1" ht="13.5" customHeight="1" x14ac:dyDescent="0.25">
      <c r="A72" s="52"/>
      <c r="B72" s="213"/>
      <c r="C72" s="193"/>
      <c r="D72" s="193"/>
      <c r="E72" s="193"/>
      <c r="F72" s="66" t="s">
        <v>82</v>
      </c>
      <c r="G72" s="67" t="str">
        <f t="shared" ref="G72" si="77">IF(E69&lt;0.125,"NA",IF(0.125&lt;=E69,(0.8*E69)))</f>
        <v>NA</v>
      </c>
      <c r="H72" s="68"/>
      <c r="I72" s="69"/>
      <c r="J72" s="70"/>
      <c r="K72" s="193"/>
      <c r="L72" s="193"/>
      <c r="M72" s="193"/>
      <c r="N72" s="193"/>
      <c r="O72" s="193"/>
      <c r="P72" s="198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s="60" customFormat="1" ht="13.5" customHeight="1" thickBot="1" x14ac:dyDescent="0.3">
      <c r="A73" s="52"/>
      <c r="B73" s="214"/>
      <c r="C73" s="194"/>
      <c r="D73" s="194"/>
      <c r="E73" s="194"/>
      <c r="F73" s="71" t="s">
        <v>83</v>
      </c>
      <c r="G73" s="72">
        <f t="shared" ref="G73" si="78">+E69</f>
        <v>9.6000000000000002E-2</v>
      </c>
      <c r="H73" s="73"/>
      <c r="I73" s="74"/>
      <c r="J73" s="75">
        <v>0.97899999999999998</v>
      </c>
      <c r="K73" s="194"/>
      <c r="L73" s="194"/>
      <c r="M73" s="194"/>
      <c r="N73" s="194"/>
      <c r="O73" s="194"/>
      <c r="P73" s="199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s="60" customFormat="1" ht="13.5" customHeight="1" x14ac:dyDescent="0.25">
      <c r="A74" s="52"/>
      <c r="B74" s="212">
        <v>12</v>
      </c>
      <c r="C74" s="215">
        <f t="shared" ref="C74" si="79">C69+$N$12</f>
        <v>3.6599999999999993</v>
      </c>
      <c r="D74" s="192">
        <v>0.10299999999999999</v>
      </c>
      <c r="E74" s="192">
        <v>9.6000000000000002E-2</v>
      </c>
      <c r="F74" s="61" t="s">
        <v>79</v>
      </c>
      <c r="G74" s="62">
        <v>0</v>
      </c>
      <c r="H74" s="63"/>
      <c r="I74" s="64"/>
      <c r="J74" s="65">
        <v>0.49199999999999999</v>
      </c>
      <c r="K74" s="192">
        <f t="shared" ref="K74" si="80">+IF(E74&lt;=0.12,(J76),(IF(E74&lt;0.16,((J75+2*J76+J77)/4),IF(E74&gt;=0.16,((J74+3*J75+2*J76+3*J77+J78)/10)))))</f>
        <v>0.70599999999999996</v>
      </c>
      <c r="L74" s="192">
        <f t="shared" ref="L74" si="81">ROUND(+(D69+D74)/2*(C74-C69),3)</f>
        <v>0.03</v>
      </c>
      <c r="M74" s="192">
        <f t="shared" ref="M74" si="82">ROUND(+K74*L74,4)</f>
        <v>2.12E-2</v>
      </c>
      <c r="N74" s="195">
        <f t="shared" ref="N74" si="83">ROUND(+M74/$M$108*100,2)</f>
        <v>19.260000000000002</v>
      </c>
      <c r="O74" s="196"/>
      <c r="P74" s="197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s="60" customFormat="1" ht="13.5" customHeight="1" x14ac:dyDescent="0.25">
      <c r="A75" s="52"/>
      <c r="B75" s="213"/>
      <c r="C75" s="193"/>
      <c r="D75" s="193"/>
      <c r="E75" s="193"/>
      <c r="F75" s="66" t="s">
        <v>80</v>
      </c>
      <c r="G75" s="67" t="str">
        <f t="shared" ref="G75" si="84">IF(E74&lt;0.125,"NA",IF(0.125&lt;=E74,(0.2*E74)))</f>
        <v>NA</v>
      </c>
      <c r="H75" s="68"/>
      <c r="I75" s="69"/>
      <c r="J75" s="70"/>
      <c r="K75" s="193"/>
      <c r="L75" s="193"/>
      <c r="M75" s="193"/>
      <c r="N75" s="193"/>
      <c r="O75" s="193"/>
      <c r="P75" s="198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s="60" customFormat="1" ht="13.5" customHeight="1" x14ac:dyDescent="0.25">
      <c r="A76" s="52"/>
      <c r="B76" s="213"/>
      <c r="C76" s="193"/>
      <c r="D76" s="193"/>
      <c r="E76" s="193"/>
      <c r="F76" s="66" t="s">
        <v>81</v>
      </c>
      <c r="G76" s="67">
        <f t="shared" ref="G76" si="85">+E74*0.4</f>
        <v>3.8400000000000004E-2</v>
      </c>
      <c r="H76" s="68"/>
      <c r="I76" s="69"/>
      <c r="J76" s="70">
        <v>0.70599999999999996</v>
      </c>
      <c r="K76" s="193"/>
      <c r="L76" s="193"/>
      <c r="M76" s="193"/>
      <c r="N76" s="193"/>
      <c r="O76" s="193"/>
      <c r="P76" s="198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s="60" customFormat="1" ht="13.5" customHeight="1" x14ac:dyDescent="0.25">
      <c r="A77" s="52"/>
      <c r="B77" s="213"/>
      <c r="C77" s="193"/>
      <c r="D77" s="193"/>
      <c r="E77" s="193"/>
      <c r="F77" s="66" t="s">
        <v>82</v>
      </c>
      <c r="G77" s="67" t="str">
        <f t="shared" ref="G77" si="86">IF(E74&lt;0.125,"NA",IF(0.125&lt;=E74,(0.8*E74)))</f>
        <v>NA</v>
      </c>
      <c r="H77" s="68"/>
      <c r="I77" s="69"/>
      <c r="J77" s="70"/>
      <c r="K77" s="193"/>
      <c r="L77" s="193"/>
      <c r="M77" s="193"/>
      <c r="N77" s="193"/>
      <c r="O77" s="193"/>
      <c r="P77" s="198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s="60" customFormat="1" ht="13.5" customHeight="1" thickBot="1" x14ac:dyDescent="0.3">
      <c r="A78" s="52"/>
      <c r="B78" s="214"/>
      <c r="C78" s="194"/>
      <c r="D78" s="194"/>
      <c r="E78" s="194"/>
      <c r="F78" s="71" t="s">
        <v>83</v>
      </c>
      <c r="G78" s="72">
        <f t="shared" ref="G78" si="87">+E74</f>
        <v>9.6000000000000002E-2</v>
      </c>
      <c r="H78" s="73"/>
      <c r="I78" s="74"/>
      <c r="J78" s="75">
        <v>1.024</v>
      </c>
      <c r="K78" s="194"/>
      <c r="L78" s="194"/>
      <c r="M78" s="194"/>
      <c r="N78" s="194"/>
      <c r="O78" s="194"/>
      <c r="P78" s="199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s="60" customFormat="1" ht="13.5" customHeight="1" x14ac:dyDescent="0.25">
      <c r="A79" s="52"/>
      <c r="B79" s="212">
        <v>13</v>
      </c>
      <c r="C79" s="215">
        <f>C74+0.2</f>
        <v>3.8599999999999994</v>
      </c>
      <c r="D79" s="192">
        <v>0.114</v>
      </c>
      <c r="E79" s="192">
        <v>0.111</v>
      </c>
      <c r="F79" s="61" t="s">
        <v>79</v>
      </c>
      <c r="G79" s="62">
        <v>0</v>
      </c>
      <c r="H79" s="63"/>
      <c r="I79" s="64"/>
      <c r="J79" s="65">
        <v>0.67700000000000005</v>
      </c>
      <c r="K79" s="192">
        <f t="shared" ref="K79" si="88">+IF(E79&lt;=0.12,(J81),(IF(E79&lt;0.16,((J80+2*J81+J82)/4),IF(E79&gt;=0.16,((J79+3*J80+2*J81+3*J82+J83)/10)))))</f>
        <v>0.28799999999999998</v>
      </c>
      <c r="L79" s="192">
        <f t="shared" ref="L79" si="89">ROUND(+(D74+D79)/2*(C79-C74),3)</f>
        <v>2.1999999999999999E-2</v>
      </c>
      <c r="M79" s="192">
        <f t="shared" ref="M79" si="90">ROUND(+K79*L79,4)</f>
        <v>6.3E-3</v>
      </c>
      <c r="N79" s="195">
        <f t="shared" ref="N79" si="91">ROUND(+M79/$M$108*100,2)</f>
        <v>5.72</v>
      </c>
      <c r="O79" s="196"/>
      <c r="P79" s="197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s="60" customFormat="1" ht="13.5" customHeight="1" x14ac:dyDescent="0.25">
      <c r="A80" s="52"/>
      <c r="B80" s="213"/>
      <c r="C80" s="193"/>
      <c r="D80" s="193"/>
      <c r="E80" s="193"/>
      <c r="F80" s="66" t="s">
        <v>80</v>
      </c>
      <c r="G80" s="67" t="str">
        <f t="shared" ref="G80" si="92">IF(E79&lt;0.125,"NA",IF(0.125&lt;=E79,(0.2*E79)))</f>
        <v>NA</v>
      </c>
      <c r="H80" s="68"/>
      <c r="I80" s="69"/>
      <c r="J80" s="70"/>
      <c r="K80" s="193"/>
      <c r="L80" s="193"/>
      <c r="M80" s="193"/>
      <c r="N80" s="193"/>
      <c r="O80" s="193"/>
      <c r="P80" s="198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s="60" customFormat="1" ht="13.5" customHeight="1" x14ac:dyDescent="0.25">
      <c r="A81" s="52"/>
      <c r="B81" s="213"/>
      <c r="C81" s="193"/>
      <c r="D81" s="193"/>
      <c r="E81" s="193"/>
      <c r="F81" s="66" t="s">
        <v>81</v>
      </c>
      <c r="G81" s="67">
        <f t="shared" ref="G81" si="93">+E79*0.4</f>
        <v>4.4400000000000002E-2</v>
      </c>
      <c r="H81" s="68"/>
      <c r="I81" s="69"/>
      <c r="J81" s="70">
        <v>0.28799999999999998</v>
      </c>
      <c r="K81" s="193"/>
      <c r="L81" s="193"/>
      <c r="M81" s="193"/>
      <c r="N81" s="193"/>
      <c r="O81" s="193"/>
      <c r="P81" s="198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s="60" customFormat="1" ht="13.5" customHeight="1" x14ac:dyDescent="0.25">
      <c r="A82" s="52"/>
      <c r="B82" s="213"/>
      <c r="C82" s="193"/>
      <c r="D82" s="193"/>
      <c r="E82" s="193"/>
      <c r="F82" s="66" t="s">
        <v>82</v>
      </c>
      <c r="G82" s="67" t="str">
        <f t="shared" ref="G82" si="94">IF(E79&lt;0.125,"NA",IF(0.125&lt;=E79,(0.8*E79)))</f>
        <v>NA</v>
      </c>
      <c r="H82" s="68"/>
      <c r="I82" s="69"/>
      <c r="J82" s="70"/>
      <c r="K82" s="193"/>
      <c r="L82" s="193"/>
      <c r="M82" s="193"/>
      <c r="N82" s="193"/>
      <c r="O82" s="193"/>
      <c r="P82" s="198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s="60" customFormat="1" ht="13.5" customHeight="1" thickBot="1" x14ac:dyDescent="0.3">
      <c r="A83" s="52"/>
      <c r="B83" s="214"/>
      <c r="C83" s="194"/>
      <c r="D83" s="194"/>
      <c r="E83" s="194"/>
      <c r="F83" s="71" t="s">
        <v>83</v>
      </c>
      <c r="G83" s="72">
        <f t="shared" ref="G83" si="95">+E79</f>
        <v>0.111</v>
      </c>
      <c r="H83" s="73"/>
      <c r="I83" s="74"/>
      <c r="J83" s="75">
        <v>0.95299999999999996</v>
      </c>
      <c r="K83" s="194"/>
      <c r="L83" s="194"/>
      <c r="M83" s="194"/>
      <c r="N83" s="194"/>
      <c r="O83" s="194"/>
      <c r="P83" s="199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s="60" customFormat="1" ht="13.5" customHeight="1" x14ac:dyDescent="0.25">
      <c r="A84" s="52"/>
      <c r="B84" s="212">
        <v>14</v>
      </c>
      <c r="C84" s="215">
        <f>C79+0.11</f>
        <v>3.9699999999999993</v>
      </c>
      <c r="D84" s="192">
        <v>1.2E-2</v>
      </c>
      <c r="E84" s="192">
        <v>0.11559999999999999</v>
      </c>
      <c r="F84" s="61" t="s">
        <v>79</v>
      </c>
      <c r="G84" s="62">
        <v>0</v>
      </c>
      <c r="H84" s="63"/>
      <c r="I84" s="64"/>
      <c r="J84" s="65">
        <v>0.67500000000000004</v>
      </c>
      <c r="K84" s="192">
        <f t="shared" ref="K84" si="96">+IF(E84&lt;=0.12,(J86),(IF(E84&lt;0.16,((J85+2*J86+J87)/4),IF(E84&gt;=0.16,((J84+3*J85+2*J86+3*J87+J88)/10)))))</f>
        <v>0.90900000000000003</v>
      </c>
      <c r="L84" s="192">
        <f t="shared" ref="L84" si="97">ROUND(+(D79+D84)/2*(C84-C79),3)</f>
        <v>7.0000000000000001E-3</v>
      </c>
      <c r="M84" s="192">
        <f t="shared" ref="M84" si="98">ROUND(+K84*L84,4)</f>
        <v>6.4000000000000003E-3</v>
      </c>
      <c r="N84" s="195">
        <f t="shared" ref="N84" si="99">ROUND(+M84/$M$108*100,2)</f>
        <v>5.81</v>
      </c>
      <c r="O84" s="196"/>
      <c r="P84" s="197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s="60" customFormat="1" ht="13.5" customHeight="1" x14ac:dyDescent="0.25">
      <c r="A85" s="52"/>
      <c r="B85" s="213"/>
      <c r="C85" s="193"/>
      <c r="D85" s="193"/>
      <c r="E85" s="193"/>
      <c r="F85" s="66" t="s">
        <v>80</v>
      </c>
      <c r="G85" s="67" t="str">
        <f t="shared" ref="G85" si="100">IF(E84&lt;0.125,"NA",IF(0.125&lt;=E84,(0.2*E84)))</f>
        <v>NA</v>
      </c>
      <c r="H85" s="68"/>
      <c r="I85" s="69"/>
      <c r="J85" s="70"/>
      <c r="K85" s="193"/>
      <c r="L85" s="193"/>
      <c r="M85" s="193"/>
      <c r="N85" s="193"/>
      <c r="O85" s="193"/>
      <c r="P85" s="198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s="60" customFormat="1" ht="13.5" customHeight="1" x14ac:dyDescent="0.25">
      <c r="A86" s="52"/>
      <c r="B86" s="213"/>
      <c r="C86" s="193"/>
      <c r="D86" s="193"/>
      <c r="E86" s="193"/>
      <c r="F86" s="66" t="s">
        <v>81</v>
      </c>
      <c r="G86" s="67">
        <f t="shared" ref="G86" si="101">+E84*0.4</f>
        <v>4.6240000000000003E-2</v>
      </c>
      <c r="H86" s="68"/>
      <c r="I86" s="69"/>
      <c r="J86" s="70">
        <v>0.90900000000000003</v>
      </c>
      <c r="K86" s="193"/>
      <c r="L86" s="193"/>
      <c r="M86" s="193"/>
      <c r="N86" s="193"/>
      <c r="O86" s="193"/>
      <c r="P86" s="198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s="60" customFormat="1" ht="13.5" customHeight="1" x14ac:dyDescent="0.25">
      <c r="A87" s="52"/>
      <c r="B87" s="213"/>
      <c r="C87" s="193"/>
      <c r="D87" s="193"/>
      <c r="E87" s="193"/>
      <c r="F87" s="66" t="s">
        <v>82</v>
      </c>
      <c r="G87" s="67" t="str">
        <f t="shared" ref="G87" si="102">IF(E84&lt;0.125,"NA",IF(0.125&lt;=E84,(0.8*E84)))</f>
        <v>NA</v>
      </c>
      <c r="H87" s="68"/>
      <c r="I87" s="69"/>
      <c r="J87" s="70"/>
      <c r="K87" s="193"/>
      <c r="L87" s="193"/>
      <c r="M87" s="193"/>
      <c r="N87" s="193"/>
      <c r="O87" s="193"/>
      <c r="P87" s="198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s="60" customFormat="1" ht="13.5" customHeight="1" thickBot="1" x14ac:dyDescent="0.3">
      <c r="A88" s="52"/>
      <c r="B88" s="214"/>
      <c r="C88" s="194"/>
      <c r="D88" s="194"/>
      <c r="E88" s="194"/>
      <c r="F88" s="71" t="s">
        <v>83</v>
      </c>
      <c r="G88" s="72">
        <f t="shared" ref="G88" si="103">+E84</f>
        <v>0.11559999999999999</v>
      </c>
      <c r="H88" s="73"/>
      <c r="I88" s="74"/>
      <c r="J88" s="75">
        <v>1.4850000000000001</v>
      </c>
      <c r="K88" s="194"/>
      <c r="L88" s="194"/>
      <c r="M88" s="194"/>
      <c r="N88" s="194"/>
      <c r="O88" s="194"/>
      <c r="P88" s="199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s="3" customFormat="1" ht="14.1" customHeight="1" x14ac:dyDescent="0.2">
      <c r="B89" s="200" t="s">
        <v>29</v>
      </c>
      <c r="C89" s="203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5"/>
    </row>
    <row r="90" spans="1:26" s="3" customFormat="1" ht="14.1" customHeight="1" x14ac:dyDescent="0.2">
      <c r="B90" s="201"/>
      <c r="C90" s="206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8"/>
    </row>
    <row r="91" spans="1:26" s="3" customFormat="1" ht="14.1" customHeight="1" x14ac:dyDescent="0.2">
      <c r="B91" s="201"/>
      <c r="C91" s="206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8"/>
    </row>
    <row r="92" spans="1:26" s="3" customFormat="1" ht="14.1" customHeight="1" x14ac:dyDescent="0.2">
      <c r="B92" s="201"/>
      <c r="C92" s="206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8"/>
    </row>
    <row r="93" spans="1:26" s="3" customFormat="1" ht="14.1" customHeight="1" x14ac:dyDescent="0.2">
      <c r="B93" s="201"/>
      <c r="C93" s="206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8"/>
    </row>
    <row r="94" spans="1:26" s="3" customFormat="1" ht="14.1" customHeight="1" thickBot="1" x14ac:dyDescent="0.25">
      <c r="B94" s="202"/>
      <c r="C94" s="209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1"/>
    </row>
    <row r="95" spans="1:26" s="3" customFormat="1" ht="28.5" customHeight="1" thickBot="1" x14ac:dyDescent="0.25">
      <c r="A95" s="76"/>
      <c r="B95" s="77" t="s">
        <v>84</v>
      </c>
      <c r="C95" s="179" t="s">
        <v>85</v>
      </c>
      <c r="D95" s="179"/>
      <c r="E95" s="179"/>
      <c r="F95" s="179"/>
      <c r="G95" s="179"/>
      <c r="H95" s="180"/>
      <c r="I95" s="181"/>
      <c r="J95" s="77"/>
      <c r="K95" s="179" t="s">
        <v>87</v>
      </c>
      <c r="L95" s="179"/>
      <c r="M95" s="179"/>
      <c r="N95" s="179"/>
      <c r="O95" s="179"/>
      <c r="P95" s="180"/>
    </row>
    <row r="96" spans="1:26" s="3" customFormat="1" ht="28.5" customHeight="1" thickBot="1" x14ac:dyDescent="0.25">
      <c r="B96" s="78" t="s">
        <v>88</v>
      </c>
      <c r="C96" s="183" t="s">
        <v>89</v>
      </c>
      <c r="D96" s="183"/>
      <c r="E96" s="183"/>
      <c r="F96" s="183"/>
      <c r="G96" s="183"/>
      <c r="H96" s="184"/>
      <c r="I96" s="182"/>
      <c r="J96" s="78" t="s">
        <v>90</v>
      </c>
      <c r="K96" s="183" t="s">
        <v>91</v>
      </c>
      <c r="L96" s="183"/>
      <c r="M96" s="183"/>
      <c r="N96" s="183"/>
      <c r="O96" s="183"/>
      <c r="P96" s="184"/>
    </row>
    <row r="97" spans="1:26" s="19" customFormat="1" ht="13.5" customHeight="1" x14ac:dyDescent="0.25">
      <c r="A97" s="79"/>
      <c r="B97" s="185"/>
      <c r="C97" s="188"/>
      <c r="D97" s="190"/>
      <c r="E97" s="190"/>
      <c r="F97" s="80" t="s">
        <v>79</v>
      </c>
      <c r="G97" s="80">
        <v>0.01</v>
      </c>
      <c r="H97" s="81"/>
      <c r="I97" s="82"/>
      <c r="J97" s="83"/>
      <c r="K97" s="191"/>
      <c r="L97" s="170"/>
      <c r="M97" s="173"/>
      <c r="N97" s="170"/>
      <c r="O97" s="170"/>
      <c r="P97" s="17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s="19" customFormat="1" ht="13.5" customHeight="1" x14ac:dyDescent="0.25">
      <c r="A98" s="79"/>
      <c r="B98" s="186"/>
      <c r="C98" s="171"/>
      <c r="D98" s="171"/>
      <c r="E98" s="171"/>
      <c r="F98" s="85" t="s">
        <v>92</v>
      </c>
      <c r="G98" s="86">
        <f>+E97*0.1</f>
        <v>0</v>
      </c>
      <c r="H98" s="87"/>
      <c r="I98" s="88"/>
      <c r="J98" s="89"/>
      <c r="K98" s="171"/>
      <c r="L98" s="171"/>
      <c r="M98" s="171"/>
      <c r="N98" s="171"/>
      <c r="O98" s="171"/>
      <c r="P98" s="175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s="19" customFormat="1" ht="13.5" customHeight="1" x14ac:dyDescent="0.25">
      <c r="A99" s="79"/>
      <c r="B99" s="186"/>
      <c r="C99" s="171"/>
      <c r="D99" s="171"/>
      <c r="E99" s="171"/>
      <c r="F99" s="85" t="s">
        <v>93</v>
      </c>
      <c r="G99" s="86">
        <f>+E97*0.2</f>
        <v>0</v>
      </c>
      <c r="H99" s="87"/>
      <c r="I99" s="88"/>
      <c r="J99" s="89"/>
      <c r="K99" s="171"/>
      <c r="L99" s="171"/>
      <c r="M99" s="171"/>
      <c r="N99" s="171"/>
      <c r="O99" s="171"/>
      <c r="P99" s="175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s="19" customFormat="1" ht="13.5" customHeight="1" x14ac:dyDescent="0.25">
      <c r="A100" s="79"/>
      <c r="B100" s="186"/>
      <c r="C100" s="171"/>
      <c r="D100" s="171"/>
      <c r="E100" s="171"/>
      <c r="F100" s="85" t="s">
        <v>94</v>
      </c>
      <c r="G100" s="86">
        <f>+E97*0.3</f>
        <v>0</v>
      </c>
      <c r="H100" s="87"/>
      <c r="I100" s="88"/>
      <c r="J100" s="89"/>
      <c r="K100" s="171"/>
      <c r="L100" s="171"/>
      <c r="M100" s="171"/>
      <c r="N100" s="171"/>
      <c r="O100" s="171"/>
      <c r="P100" s="175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s="19" customFormat="1" ht="13.5" customHeight="1" x14ac:dyDescent="0.25">
      <c r="A101" s="79"/>
      <c r="B101" s="186"/>
      <c r="C101" s="189"/>
      <c r="D101" s="189"/>
      <c r="E101" s="171"/>
      <c r="F101" s="85" t="s">
        <v>95</v>
      </c>
      <c r="G101" s="86">
        <f>+E97*0.4</f>
        <v>0</v>
      </c>
      <c r="H101" s="87"/>
      <c r="I101" s="88"/>
      <c r="J101" s="89"/>
      <c r="K101" s="171"/>
      <c r="L101" s="171"/>
      <c r="M101" s="171"/>
      <c r="N101" s="171"/>
      <c r="O101" s="171"/>
      <c r="P101" s="175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s="19" customFormat="1" ht="13.5" customHeight="1" x14ac:dyDescent="0.25">
      <c r="A102" s="79"/>
      <c r="B102" s="186"/>
      <c r="C102" s="177"/>
      <c r="D102" s="178"/>
      <c r="E102" s="171"/>
      <c r="F102" s="85" t="s">
        <v>30</v>
      </c>
      <c r="G102" s="86">
        <f>+E97*0.5</f>
        <v>0</v>
      </c>
      <c r="H102" s="87"/>
      <c r="I102" s="88"/>
      <c r="J102" s="89"/>
      <c r="K102" s="171"/>
      <c r="L102" s="171"/>
      <c r="M102" s="171"/>
      <c r="N102" s="171"/>
      <c r="O102" s="171"/>
      <c r="P102" s="175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s="19" customFormat="1" ht="13.5" customHeight="1" x14ac:dyDescent="0.25">
      <c r="A103" s="79"/>
      <c r="B103" s="186"/>
      <c r="C103" s="171"/>
      <c r="D103" s="171"/>
      <c r="E103" s="171"/>
      <c r="F103" s="85" t="s">
        <v>96</v>
      </c>
      <c r="G103" s="86">
        <f>+E97*0.6</f>
        <v>0</v>
      </c>
      <c r="H103" s="87"/>
      <c r="I103" s="88"/>
      <c r="J103" s="89"/>
      <c r="K103" s="171"/>
      <c r="L103" s="171"/>
      <c r="M103" s="171"/>
      <c r="N103" s="171"/>
      <c r="O103" s="171"/>
      <c r="P103" s="175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s="19" customFormat="1" ht="13.5" customHeight="1" x14ac:dyDescent="0.25">
      <c r="A104" s="79"/>
      <c r="B104" s="186"/>
      <c r="C104" s="171"/>
      <c r="D104" s="171"/>
      <c r="E104" s="171"/>
      <c r="F104" s="85" t="s">
        <v>97</v>
      </c>
      <c r="G104" s="86">
        <f>+E97*0.7</f>
        <v>0</v>
      </c>
      <c r="H104" s="87"/>
      <c r="I104" s="88"/>
      <c r="J104" s="89"/>
      <c r="K104" s="171"/>
      <c r="L104" s="171"/>
      <c r="M104" s="171"/>
      <c r="N104" s="171"/>
      <c r="O104" s="171"/>
      <c r="P104" s="175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s="19" customFormat="1" ht="13.5" customHeight="1" x14ac:dyDescent="0.25">
      <c r="A105" s="79"/>
      <c r="B105" s="186"/>
      <c r="C105" s="171"/>
      <c r="D105" s="171"/>
      <c r="E105" s="171"/>
      <c r="F105" s="85" t="s">
        <v>98</v>
      </c>
      <c r="G105" s="86">
        <f>+E97*0.8</f>
        <v>0</v>
      </c>
      <c r="H105" s="87"/>
      <c r="I105" s="88"/>
      <c r="J105" s="89"/>
      <c r="K105" s="171"/>
      <c r="L105" s="171"/>
      <c r="M105" s="171"/>
      <c r="N105" s="171"/>
      <c r="O105" s="171"/>
      <c r="P105" s="175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s="19" customFormat="1" ht="13.5" customHeight="1" x14ac:dyDescent="0.25">
      <c r="A106" s="79"/>
      <c r="B106" s="186"/>
      <c r="C106" s="171"/>
      <c r="D106" s="171"/>
      <c r="E106" s="171"/>
      <c r="F106" s="85" t="s">
        <v>99</v>
      </c>
      <c r="G106" s="86">
        <f>+E97*0.9</f>
        <v>0</v>
      </c>
      <c r="H106" s="87"/>
      <c r="I106" s="88"/>
      <c r="J106" s="89"/>
      <c r="K106" s="171"/>
      <c r="L106" s="171"/>
      <c r="M106" s="171"/>
      <c r="N106" s="171"/>
      <c r="O106" s="171"/>
      <c r="P106" s="175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s="19" customFormat="1" ht="15.75" thickBot="1" x14ac:dyDescent="0.3">
      <c r="A107" s="79"/>
      <c r="B107" s="187"/>
      <c r="C107" s="172"/>
      <c r="D107" s="172"/>
      <c r="E107" s="172"/>
      <c r="F107" s="90" t="s">
        <v>31</v>
      </c>
      <c r="G107" s="90">
        <f>+E97</f>
        <v>0</v>
      </c>
      <c r="H107" s="91"/>
      <c r="I107" s="92"/>
      <c r="J107" s="93"/>
      <c r="K107" s="172"/>
      <c r="L107" s="172"/>
      <c r="M107" s="172"/>
      <c r="N107" s="172"/>
      <c r="O107" s="172"/>
      <c r="P107" s="176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s="3" customFormat="1" ht="12.75" x14ac:dyDescent="0.2">
      <c r="A108" s="11"/>
      <c r="B108" s="158" t="s">
        <v>32</v>
      </c>
      <c r="C108" s="158"/>
      <c r="D108" s="158"/>
      <c r="E108" s="158"/>
      <c r="F108" s="158"/>
      <c r="G108" s="158"/>
      <c r="H108" s="158"/>
      <c r="I108" s="158"/>
      <c r="J108" s="158"/>
      <c r="K108" s="12">
        <f>ROUND(+M108/L108,3)</f>
        <v>0.32200000000000001</v>
      </c>
      <c r="L108" s="16">
        <f>SUM(L19:L107)</f>
        <v>0.34200000000000008</v>
      </c>
      <c r="M108" s="15">
        <f>SUM(M19:M107)</f>
        <v>0.1101</v>
      </c>
      <c r="N108" s="13">
        <f>ROUND(SUM(N19:N107),0)</f>
        <v>100</v>
      </c>
      <c r="O108" s="160" t="s">
        <v>33</v>
      </c>
      <c r="P108" s="162"/>
    </row>
    <row r="109" spans="1:26" s="3" customFormat="1" ht="15" customHeight="1" thickBot="1" x14ac:dyDescent="0.25">
      <c r="A109" s="11"/>
      <c r="B109" s="159"/>
      <c r="C109" s="159"/>
      <c r="D109" s="159"/>
      <c r="E109" s="159"/>
      <c r="F109" s="159"/>
      <c r="G109" s="159"/>
      <c r="H109" s="159"/>
      <c r="I109" s="159"/>
      <c r="J109" s="159"/>
      <c r="K109" s="14" t="s">
        <v>34</v>
      </c>
      <c r="L109" s="14" t="s">
        <v>50</v>
      </c>
      <c r="M109" s="14" t="s">
        <v>51</v>
      </c>
      <c r="N109" s="14" t="s">
        <v>35</v>
      </c>
      <c r="O109" s="161"/>
      <c r="P109" s="163"/>
    </row>
    <row r="110" spans="1:26" ht="15" customHeight="1" thickBot="1" x14ac:dyDescent="0.3">
      <c r="A110" s="5"/>
      <c r="B110" s="164" t="s">
        <v>100</v>
      </c>
      <c r="C110" s="165"/>
      <c r="D110" s="165"/>
      <c r="E110" s="165"/>
      <c r="F110" s="166"/>
      <c r="G110" s="164" t="s">
        <v>101</v>
      </c>
      <c r="H110" s="165"/>
      <c r="I110" s="165"/>
      <c r="J110" s="165"/>
      <c r="K110" s="166"/>
      <c r="L110" s="167" t="s">
        <v>53</v>
      </c>
      <c r="M110" s="168"/>
      <c r="N110" s="168"/>
      <c r="O110" s="168"/>
      <c r="P110" s="169"/>
    </row>
    <row r="111" spans="1:26" ht="15" customHeight="1" x14ac:dyDescent="0.25">
      <c r="A111" s="5"/>
      <c r="B111" s="128"/>
      <c r="C111" s="129"/>
      <c r="D111" s="129"/>
      <c r="E111" s="129"/>
      <c r="F111" s="130"/>
      <c r="G111" s="128"/>
      <c r="H111" s="129"/>
      <c r="I111" s="129"/>
      <c r="J111" s="129"/>
      <c r="K111" s="130"/>
      <c r="L111" s="137" t="s">
        <v>102</v>
      </c>
      <c r="M111" s="138"/>
      <c r="N111" s="138"/>
      <c r="O111" s="139">
        <f>+AVERAGE(E18:E88)</f>
        <v>8.9685714285714271E-2</v>
      </c>
      <c r="P111" s="140"/>
    </row>
    <row r="112" spans="1:26" ht="15" customHeight="1" thickBot="1" x14ac:dyDescent="0.3">
      <c r="A112" s="5"/>
      <c r="B112" s="131"/>
      <c r="C112" s="132"/>
      <c r="D112" s="132"/>
      <c r="E112" s="132"/>
      <c r="F112" s="133"/>
      <c r="G112" s="131"/>
      <c r="H112" s="132"/>
      <c r="I112" s="132"/>
      <c r="J112" s="132"/>
      <c r="K112" s="133"/>
      <c r="L112" s="141" t="s">
        <v>103</v>
      </c>
      <c r="M112" s="142"/>
      <c r="N112" s="142"/>
      <c r="O112" s="143">
        <f>+MAX(E18:E88)</f>
        <v>0.11559999999999999</v>
      </c>
      <c r="P112" s="144"/>
    </row>
    <row r="113" spans="1:16" ht="18.600000000000001" customHeight="1" x14ac:dyDescent="0.25">
      <c r="A113" s="6"/>
      <c r="B113" s="131"/>
      <c r="C113" s="132"/>
      <c r="D113" s="132"/>
      <c r="E113" s="132"/>
      <c r="F113" s="133"/>
      <c r="G113" s="131"/>
      <c r="H113" s="132"/>
      <c r="I113" s="132"/>
      <c r="J113" s="132"/>
      <c r="K113" s="133"/>
      <c r="L113" s="145"/>
      <c r="M113" s="146"/>
      <c r="N113" s="146"/>
      <c r="O113" s="146"/>
      <c r="P113" s="147"/>
    </row>
    <row r="114" spans="1:16" ht="54.75" customHeight="1" x14ac:dyDescent="0.25">
      <c r="A114" s="10"/>
      <c r="B114" s="131"/>
      <c r="C114" s="132"/>
      <c r="D114" s="132"/>
      <c r="E114" s="132"/>
      <c r="F114" s="133"/>
      <c r="G114" s="131"/>
      <c r="H114" s="132"/>
      <c r="I114" s="132"/>
      <c r="J114" s="132"/>
      <c r="K114" s="133"/>
      <c r="L114" s="148"/>
      <c r="M114" s="149"/>
      <c r="N114" s="149"/>
      <c r="O114" s="149"/>
      <c r="P114" s="150"/>
    </row>
    <row r="115" spans="1:16" ht="15" customHeight="1" thickBot="1" x14ac:dyDescent="0.3">
      <c r="A115" s="5"/>
      <c r="B115" s="131"/>
      <c r="C115" s="132"/>
      <c r="D115" s="132"/>
      <c r="E115" s="132"/>
      <c r="F115" s="133"/>
      <c r="G115" s="131"/>
      <c r="H115" s="132"/>
      <c r="I115" s="132"/>
      <c r="J115" s="132"/>
      <c r="K115" s="133"/>
      <c r="L115" s="151"/>
      <c r="M115" s="152"/>
      <c r="N115" s="152"/>
      <c r="O115" s="152"/>
      <c r="P115" s="153"/>
    </row>
    <row r="116" spans="1:16" ht="22.5" customHeight="1" thickBot="1" x14ac:dyDescent="0.3">
      <c r="A116" s="5"/>
      <c r="B116" s="131"/>
      <c r="C116" s="132"/>
      <c r="D116" s="132"/>
      <c r="E116" s="132"/>
      <c r="F116" s="133"/>
      <c r="G116" s="131"/>
      <c r="H116" s="132"/>
      <c r="I116" s="132"/>
      <c r="J116" s="132"/>
      <c r="K116" s="133"/>
      <c r="L116" s="154" t="s">
        <v>36</v>
      </c>
      <c r="M116" s="155"/>
      <c r="N116" s="155"/>
      <c r="O116" s="155"/>
      <c r="P116" s="95">
        <v>5.53</v>
      </c>
    </row>
    <row r="117" spans="1:16" ht="32.25" customHeight="1" thickBot="1" x14ac:dyDescent="0.3">
      <c r="A117" s="5"/>
      <c r="B117" s="134"/>
      <c r="C117" s="135"/>
      <c r="D117" s="135"/>
      <c r="E117" s="135"/>
      <c r="F117" s="136"/>
      <c r="G117" s="134"/>
      <c r="H117" s="135"/>
      <c r="I117" s="135"/>
      <c r="J117" s="135"/>
      <c r="K117" s="136"/>
      <c r="L117" s="156" t="s">
        <v>52</v>
      </c>
      <c r="M117" s="157"/>
      <c r="N117" s="157"/>
      <c r="O117" s="157"/>
      <c r="P117" s="95">
        <v>0.31909999999999999</v>
      </c>
    </row>
    <row r="118" spans="1:16" ht="23.45" customHeight="1" thickBot="1" x14ac:dyDescent="0.3">
      <c r="A118" s="7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1:16" ht="15.75" thickBot="1" x14ac:dyDescent="0.3">
      <c r="A119" s="115" t="s">
        <v>37</v>
      </c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7"/>
    </row>
    <row r="120" spans="1:16" ht="159" customHeight="1" thickBot="1" x14ac:dyDescent="0.3">
      <c r="A120" s="4"/>
      <c r="B120" s="118"/>
      <c r="C120" s="119"/>
      <c r="D120" s="119"/>
      <c r="E120" s="119"/>
      <c r="F120" s="120"/>
      <c r="G120" s="305"/>
      <c r="H120" s="306"/>
      <c r="I120" s="306"/>
      <c r="J120" s="306"/>
      <c r="K120" s="306"/>
      <c r="L120" s="306"/>
      <c r="M120" s="306"/>
      <c r="N120" s="306"/>
      <c r="O120" s="306"/>
      <c r="P120" s="307"/>
    </row>
    <row r="121" spans="1:16" ht="21.75" customHeight="1" thickBot="1" x14ac:dyDescent="0.3">
      <c r="A121" s="4"/>
      <c r="B121" s="125" t="s">
        <v>105</v>
      </c>
      <c r="C121" s="126"/>
      <c r="D121" s="126"/>
      <c r="E121" s="126"/>
      <c r="F121" s="304"/>
      <c r="G121" s="122" t="s">
        <v>106</v>
      </c>
      <c r="H121" s="123"/>
      <c r="I121" s="123"/>
      <c r="J121" s="123"/>
      <c r="K121" s="123"/>
      <c r="L121" s="123"/>
      <c r="M121" s="123"/>
      <c r="N121" s="123"/>
      <c r="O121" s="123"/>
      <c r="P121" s="124"/>
    </row>
    <row r="122" spans="1:16" s="9" customFormat="1" ht="16.899999999999999" customHeight="1" thickBot="1" x14ac:dyDescent="0.3">
      <c r="A122" s="8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10"/>
    </row>
    <row r="123" spans="1:16" s="3" customFormat="1" ht="15.75" customHeight="1" thickBot="1" x14ac:dyDescent="0.25">
      <c r="A123" s="111" t="s">
        <v>38</v>
      </c>
      <c r="B123" s="112"/>
      <c r="C123" s="112"/>
      <c r="D123" s="112"/>
      <c r="E123" s="112"/>
      <c r="F123" s="112"/>
      <c r="G123" s="112"/>
      <c r="H123" s="112"/>
      <c r="I123" s="112"/>
      <c r="J123" s="112" t="s">
        <v>39</v>
      </c>
      <c r="K123" s="112"/>
      <c r="L123" s="112"/>
      <c r="M123" s="112"/>
      <c r="N123" s="112"/>
      <c r="O123" s="112"/>
      <c r="P123" s="113"/>
    </row>
  </sheetData>
  <mergeCells count="24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P120"/>
    <mergeCell ref="B121:F121"/>
    <mergeCell ref="G121:P12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2019-05-16T20:27:42Z</dcterms:modified>
</cp:coreProperties>
</file>