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06" r:id="rId2"/>
    <sheet name="Aforo 2" sheetId="107" r:id="rId3"/>
    <sheet name="Aforo 3" sheetId="108" r:id="rId4"/>
    <sheet name="Aforo 4" sheetId="109" r:id="rId5"/>
  </sheets>
  <definedNames>
    <definedName name="_xlnm.Print_Area" localSheetId="2">'Aforo 2'!$B$1:$P$123</definedName>
    <definedName name="_xlnm.Print_Area" localSheetId="3">'Aforo 3'!$B$1:$P$143</definedName>
    <definedName name="_xlnm.Print_Area" localSheetId="4">'Aforo 4'!$B$1:$P$183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2" i="109" l="1"/>
  <c r="O171" i="109"/>
  <c r="G166" i="109"/>
  <c r="G165" i="109"/>
  <c r="G164" i="109"/>
  <c r="G162" i="109"/>
  <c r="D162" i="109"/>
  <c r="G160" i="109"/>
  <c r="G159" i="109"/>
  <c r="G158" i="109"/>
  <c r="K157" i="109"/>
  <c r="E157" i="109"/>
  <c r="G167" i="109" s="1"/>
  <c r="D157" i="109"/>
  <c r="G148" i="109"/>
  <c r="G147" i="109"/>
  <c r="G146" i="109"/>
  <c r="G145" i="109"/>
  <c r="G143" i="109"/>
  <c r="G142" i="109"/>
  <c r="G141" i="109"/>
  <c r="G140" i="109"/>
  <c r="K139" i="109"/>
  <c r="G138" i="109"/>
  <c r="G137" i="109"/>
  <c r="G136" i="109"/>
  <c r="G135" i="109"/>
  <c r="K134" i="109"/>
  <c r="G133" i="109"/>
  <c r="G132" i="109"/>
  <c r="G131" i="109"/>
  <c r="G130" i="109"/>
  <c r="K129" i="109"/>
  <c r="G128" i="109"/>
  <c r="G127" i="109"/>
  <c r="G126" i="109"/>
  <c r="G125" i="109"/>
  <c r="K124" i="109"/>
  <c r="G123" i="109"/>
  <c r="G122" i="109"/>
  <c r="G121" i="109"/>
  <c r="G120" i="109"/>
  <c r="K119" i="109"/>
  <c r="G118" i="109"/>
  <c r="G117" i="109"/>
  <c r="G116" i="109"/>
  <c r="G115" i="109"/>
  <c r="K114" i="109"/>
  <c r="G113" i="109"/>
  <c r="G112" i="109"/>
  <c r="G111" i="109"/>
  <c r="G110" i="109"/>
  <c r="K109" i="109"/>
  <c r="G108" i="109"/>
  <c r="G107" i="109"/>
  <c r="G106" i="109"/>
  <c r="G105" i="109"/>
  <c r="K104" i="109"/>
  <c r="G103" i="109"/>
  <c r="G102" i="109"/>
  <c r="G101" i="109"/>
  <c r="G100" i="109"/>
  <c r="K99" i="109"/>
  <c r="G98" i="109"/>
  <c r="G97" i="109"/>
  <c r="G96" i="109"/>
  <c r="G95" i="109"/>
  <c r="K94" i="109"/>
  <c r="G93" i="109"/>
  <c r="G92" i="109"/>
  <c r="G91" i="109"/>
  <c r="G90" i="109"/>
  <c r="K89" i="109"/>
  <c r="G88" i="109"/>
  <c r="G87" i="109"/>
  <c r="G86" i="109"/>
  <c r="G85" i="109"/>
  <c r="K84" i="109"/>
  <c r="G83" i="109"/>
  <c r="G82" i="109"/>
  <c r="G81" i="109"/>
  <c r="G80" i="109"/>
  <c r="K79" i="109"/>
  <c r="G78" i="109"/>
  <c r="G77" i="109"/>
  <c r="G76" i="109"/>
  <c r="G75" i="109"/>
  <c r="K74" i="109"/>
  <c r="G73" i="109"/>
  <c r="G72" i="109"/>
  <c r="G71" i="109"/>
  <c r="G70" i="109"/>
  <c r="K69" i="109"/>
  <c r="G68" i="109"/>
  <c r="G67" i="109"/>
  <c r="G66" i="109"/>
  <c r="G65" i="109"/>
  <c r="K64" i="109"/>
  <c r="G63" i="109"/>
  <c r="G62" i="109"/>
  <c r="G61" i="109"/>
  <c r="G60" i="109"/>
  <c r="K59" i="109"/>
  <c r="G58" i="109"/>
  <c r="G57" i="109"/>
  <c r="G56" i="109"/>
  <c r="G55" i="109"/>
  <c r="K54" i="109"/>
  <c r="G53" i="109"/>
  <c r="G52" i="109"/>
  <c r="G51" i="109"/>
  <c r="G50" i="109"/>
  <c r="K49" i="109"/>
  <c r="G48" i="109"/>
  <c r="G47" i="109"/>
  <c r="G46" i="109"/>
  <c r="G45" i="109"/>
  <c r="K44" i="109"/>
  <c r="G43" i="109"/>
  <c r="G42" i="109"/>
  <c r="G41" i="109"/>
  <c r="G40" i="109"/>
  <c r="G38" i="109"/>
  <c r="G37" i="109"/>
  <c r="G36" i="109"/>
  <c r="G35" i="109"/>
  <c r="K34" i="109"/>
  <c r="G33" i="109"/>
  <c r="G32" i="109"/>
  <c r="G31" i="109"/>
  <c r="G30" i="109"/>
  <c r="K29" i="109"/>
  <c r="G28" i="109"/>
  <c r="G27" i="109"/>
  <c r="G26" i="109"/>
  <c r="G25" i="109"/>
  <c r="K24" i="109"/>
  <c r="B24" i="109"/>
  <c r="B29" i="109" s="1"/>
  <c r="B34" i="109" s="1"/>
  <c r="B39" i="109" s="1"/>
  <c r="B44" i="109" s="1"/>
  <c r="B49" i="109" s="1"/>
  <c r="B54" i="109" s="1"/>
  <c r="B59" i="109" s="1"/>
  <c r="B64" i="109" s="1"/>
  <c r="B69" i="109" s="1"/>
  <c r="B74" i="109" s="1"/>
  <c r="B79" i="109" s="1"/>
  <c r="B84" i="109" s="1"/>
  <c r="B89" i="109" s="1"/>
  <c r="B94" i="109" s="1"/>
  <c r="B99" i="109" s="1"/>
  <c r="B104" i="109" s="1"/>
  <c r="B109" i="109" s="1"/>
  <c r="B114" i="109" s="1"/>
  <c r="B119" i="109" s="1"/>
  <c r="B124" i="109" s="1"/>
  <c r="B129" i="109" s="1"/>
  <c r="B134" i="109" s="1"/>
  <c r="B139" i="109" s="1"/>
  <c r="B144" i="109" s="1"/>
  <c r="B157" i="109" s="1"/>
  <c r="G23" i="109"/>
  <c r="G22" i="109"/>
  <c r="G21" i="109"/>
  <c r="G20" i="109"/>
  <c r="K19" i="109"/>
  <c r="C18" i="109"/>
  <c r="C19" i="109" s="1"/>
  <c r="C24" i="109" l="1"/>
  <c r="L19" i="109"/>
  <c r="M19" i="109"/>
  <c r="G161" i="109"/>
  <c r="G163" i="109"/>
  <c r="C29" i="109" l="1"/>
  <c r="L24" i="109"/>
  <c r="M24" i="109" s="1"/>
  <c r="C34" i="109" l="1"/>
  <c r="L29" i="109"/>
  <c r="M29" i="109" s="1"/>
  <c r="C39" i="109" l="1"/>
  <c r="C44" i="109" s="1"/>
  <c r="L34" i="109"/>
  <c r="M34" i="109" s="1"/>
  <c r="C49" i="109" l="1"/>
  <c r="L44" i="109"/>
  <c r="M44" i="109" l="1"/>
  <c r="C54" i="109"/>
  <c r="L49" i="109"/>
  <c r="M49" i="109" s="1"/>
  <c r="C59" i="109" l="1"/>
  <c r="L54" i="109"/>
  <c r="M54" i="109" s="1"/>
  <c r="C64" i="109" l="1"/>
  <c r="L59" i="109"/>
  <c r="M59" i="109" s="1"/>
  <c r="C69" i="109" l="1"/>
  <c r="L64" i="109"/>
  <c r="M64" i="109" s="1"/>
  <c r="C74" i="109" l="1"/>
  <c r="L69" i="109"/>
  <c r="M69" i="109" s="1"/>
  <c r="C79" i="109" l="1"/>
  <c r="L74" i="109"/>
  <c r="M74" i="109" s="1"/>
  <c r="C84" i="109" l="1"/>
  <c r="L79" i="109"/>
  <c r="M79" i="109" s="1"/>
  <c r="C89" i="109" l="1"/>
  <c r="L84" i="109"/>
  <c r="M84" i="109" s="1"/>
  <c r="C94" i="109" l="1"/>
  <c r="L89" i="109"/>
  <c r="M89" i="109" s="1"/>
  <c r="C99" i="109" l="1"/>
  <c r="L94" i="109"/>
  <c r="M94" i="109" s="1"/>
  <c r="C104" i="109" l="1"/>
  <c r="L99" i="109"/>
  <c r="M99" i="109" s="1"/>
  <c r="C109" i="109" l="1"/>
  <c r="L104" i="109"/>
  <c r="M104" i="109" s="1"/>
  <c r="C114" i="109" l="1"/>
  <c r="L109" i="109"/>
  <c r="M109" i="109" s="1"/>
  <c r="C119" i="109" l="1"/>
  <c r="L114" i="109"/>
  <c r="M114" i="109" s="1"/>
  <c r="C124" i="109" l="1"/>
  <c r="L119" i="109"/>
  <c r="M119" i="109" s="1"/>
  <c r="C129" i="109" l="1"/>
  <c r="L124" i="109"/>
  <c r="M124" i="109" s="1"/>
  <c r="C134" i="109" l="1"/>
  <c r="L129" i="109"/>
  <c r="M129" i="109" s="1"/>
  <c r="C139" i="109" l="1"/>
  <c r="L134" i="109"/>
  <c r="M134" i="109" s="1"/>
  <c r="C157" i="109" l="1"/>
  <c r="C144" i="109"/>
  <c r="C162" i="109" s="1"/>
  <c r="L157" i="109" s="1"/>
  <c r="L139" i="109"/>
  <c r="M139" i="109" s="1"/>
  <c r="M157" i="109" l="1"/>
  <c r="L168" i="109"/>
  <c r="M168" i="109" l="1"/>
  <c r="K168" i="109" l="1"/>
  <c r="N19" i="109"/>
  <c r="N24" i="109"/>
  <c r="N29" i="109"/>
  <c r="N34" i="109"/>
  <c r="N49" i="109"/>
  <c r="N44" i="109"/>
  <c r="N54" i="109"/>
  <c r="N59" i="109"/>
  <c r="N64" i="109"/>
  <c r="N69" i="109"/>
  <c r="N74" i="109"/>
  <c r="N79" i="109"/>
  <c r="N84" i="109"/>
  <c r="N89" i="109"/>
  <c r="N94" i="109"/>
  <c r="N99" i="109"/>
  <c r="N104" i="109"/>
  <c r="N109" i="109"/>
  <c r="N114" i="109"/>
  <c r="N119" i="109"/>
  <c r="N124" i="109"/>
  <c r="N129" i="109"/>
  <c r="N134" i="109"/>
  <c r="N139" i="109"/>
  <c r="N157" i="109"/>
  <c r="N168" i="109" l="1"/>
  <c r="O132" i="108" l="1"/>
  <c r="O131" i="108"/>
  <c r="G108" i="108"/>
  <c r="G107" i="108"/>
  <c r="G106" i="108"/>
  <c r="G105" i="108"/>
  <c r="K104" i="108"/>
  <c r="G103" i="108"/>
  <c r="G102" i="108"/>
  <c r="G101" i="108"/>
  <c r="G100" i="108"/>
  <c r="K99" i="108"/>
  <c r="G98" i="108"/>
  <c r="G97" i="108"/>
  <c r="G96" i="108"/>
  <c r="G95" i="108"/>
  <c r="K94" i="108"/>
  <c r="G93" i="108"/>
  <c r="G92" i="108"/>
  <c r="G91" i="108"/>
  <c r="G90" i="108"/>
  <c r="K89" i="108"/>
  <c r="G88" i="108"/>
  <c r="G87" i="108"/>
  <c r="G86" i="108"/>
  <c r="G85" i="108"/>
  <c r="K84" i="108"/>
  <c r="G83" i="108"/>
  <c r="G82" i="108"/>
  <c r="G81" i="108"/>
  <c r="G80" i="108"/>
  <c r="K79" i="108"/>
  <c r="G78" i="108"/>
  <c r="G77" i="108"/>
  <c r="G76" i="108"/>
  <c r="G75" i="108"/>
  <c r="K74" i="108"/>
  <c r="G73" i="108"/>
  <c r="G72" i="108"/>
  <c r="G71" i="108"/>
  <c r="G70" i="108"/>
  <c r="K69" i="108"/>
  <c r="G68" i="108"/>
  <c r="G67" i="108"/>
  <c r="G66" i="108"/>
  <c r="G65" i="108"/>
  <c r="K64" i="108"/>
  <c r="G63" i="108"/>
  <c r="G62" i="108"/>
  <c r="G61" i="108"/>
  <c r="G60" i="108"/>
  <c r="K59" i="108"/>
  <c r="G58" i="108"/>
  <c r="G57" i="108"/>
  <c r="G56" i="108"/>
  <c r="G55" i="108"/>
  <c r="K54" i="108"/>
  <c r="G53" i="108"/>
  <c r="G52" i="108"/>
  <c r="G51" i="108"/>
  <c r="G50" i="108"/>
  <c r="K49" i="108"/>
  <c r="G48" i="108"/>
  <c r="G47" i="108"/>
  <c r="G46" i="108"/>
  <c r="G45" i="108"/>
  <c r="K44" i="108"/>
  <c r="G43" i="108"/>
  <c r="G42" i="108"/>
  <c r="G41" i="108"/>
  <c r="G40" i="108"/>
  <c r="K39" i="108"/>
  <c r="G38" i="108"/>
  <c r="G37" i="108"/>
  <c r="G36" i="108"/>
  <c r="G35" i="108"/>
  <c r="K34" i="108"/>
  <c r="G33" i="108"/>
  <c r="G32" i="108"/>
  <c r="G31" i="108"/>
  <c r="G30" i="108"/>
  <c r="K29" i="108"/>
  <c r="G28" i="108"/>
  <c r="G27" i="108"/>
  <c r="G26" i="108"/>
  <c r="G25" i="108"/>
  <c r="K24" i="108"/>
  <c r="G23" i="108"/>
  <c r="G22" i="108"/>
  <c r="G21" i="108"/>
  <c r="G20" i="108"/>
  <c r="K19" i="108"/>
  <c r="C19" i="108"/>
  <c r="L19" i="108" s="1"/>
  <c r="C18" i="108"/>
  <c r="M19" i="108" l="1"/>
  <c r="C24" i="108"/>
  <c r="L24" i="108" l="1"/>
  <c r="C29" i="108"/>
  <c r="C34" i="108" l="1"/>
  <c r="L29" i="108"/>
  <c r="M29" i="108" s="1"/>
  <c r="M24" i="108"/>
  <c r="L34" i="108" l="1"/>
  <c r="C39" i="108"/>
  <c r="M34" i="108" l="1"/>
  <c r="L39" i="108"/>
  <c r="M39" i="108" s="1"/>
  <c r="C44" i="108"/>
  <c r="L44" i="108" l="1"/>
  <c r="M44" i="108" s="1"/>
  <c r="C49" i="108"/>
  <c r="C54" i="108" l="1"/>
  <c r="L49" i="108"/>
  <c r="M49" i="108" s="1"/>
  <c r="L54" i="108" l="1"/>
  <c r="M54" i="108" s="1"/>
  <c r="C59" i="108"/>
  <c r="L59" i="108" l="1"/>
  <c r="M59" i="108" s="1"/>
  <c r="C64" i="108"/>
  <c r="L64" i="108" l="1"/>
  <c r="M64" i="108" s="1"/>
  <c r="C69" i="108"/>
  <c r="C74" i="108" l="1"/>
  <c r="L69" i="108"/>
  <c r="M69" i="108" s="1"/>
  <c r="L74" i="108" l="1"/>
  <c r="M74" i="108" s="1"/>
  <c r="C79" i="108"/>
  <c r="L79" i="108" l="1"/>
  <c r="M79" i="108" s="1"/>
  <c r="C84" i="108"/>
  <c r="L84" i="108" l="1"/>
  <c r="M84" i="108" s="1"/>
  <c r="C89" i="108"/>
  <c r="C94" i="108" l="1"/>
  <c r="L89" i="108"/>
  <c r="M89" i="108" s="1"/>
  <c r="C99" i="108" l="1"/>
  <c r="L94" i="108"/>
  <c r="M94" i="108" s="1"/>
  <c r="L99" i="108" l="1"/>
  <c r="M99" i="108" s="1"/>
  <c r="C104" i="108"/>
  <c r="L104" i="108" s="1"/>
  <c r="M104" i="108" l="1"/>
  <c r="L128" i="108"/>
  <c r="M128" i="108" l="1"/>
  <c r="K128" i="108" l="1"/>
  <c r="N19" i="108"/>
  <c r="N24" i="108"/>
  <c r="N29" i="108"/>
  <c r="N34" i="108"/>
  <c r="N39" i="108"/>
  <c r="N44" i="108"/>
  <c r="N49" i="108"/>
  <c r="N54" i="108"/>
  <c r="N59" i="108"/>
  <c r="N64" i="108"/>
  <c r="N69" i="108"/>
  <c r="N74" i="108"/>
  <c r="N79" i="108"/>
  <c r="N84" i="108"/>
  <c r="N89" i="108"/>
  <c r="N94" i="108"/>
  <c r="N99" i="108"/>
  <c r="N104" i="108"/>
  <c r="N128" i="108" l="1"/>
  <c r="O112" i="107" l="1"/>
  <c r="O111" i="107"/>
  <c r="G106" i="107"/>
  <c r="G104" i="107"/>
  <c r="G102" i="107"/>
  <c r="D102" i="107"/>
  <c r="G100" i="107"/>
  <c r="G99" i="107"/>
  <c r="G98" i="107"/>
  <c r="K97" i="107"/>
  <c r="E97" i="107"/>
  <c r="G105" i="107" s="1"/>
  <c r="D97" i="107"/>
  <c r="G88" i="107"/>
  <c r="G87" i="107"/>
  <c r="G86" i="107"/>
  <c r="G85" i="107"/>
  <c r="G83" i="107"/>
  <c r="G82" i="107"/>
  <c r="G81" i="107"/>
  <c r="G80" i="107"/>
  <c r="K79" i="107"/>
  <c r="G78" i="107"/>
  <c r="G77" i="107"/>
  <c r="G76" i="107"/>
  <c r="G75" i="107"/>
  <c r="K74" i="107"/>
  <c r="G73" i="107"/>
  <c r="G72" i="107"/>
  <c r="G71" i="107"/>
  <c r="G70" i="107"/>
  <c r="K69" i="107"/>
  <c r="G68" i="107"/>
  <c r="G67" i="107"/>
  <c r="G66" i="107"/>
  <c r="G65" i="107"/>
  <c r="K64" i="107"/>
  <c r="G63" i="107"/>
  <c r="G62" i="107"/>
  <c r="G61" i="107"/>
  <c r="G60" i="107"/>
  <c r="K59" i="107"/>
  <c r="G58" i="107"/>
  <c r="G57" i="107"/>
  <c r="G56" i="107"/>
  <c r="G55" i="107"/>
  <c r="K54" i="107"/>
  <c r="G53" i="107"/>
  <c r="G52" i="107"/>
  <c r="G51" i="107"/>
  <c r="G50" i="107"/>
  <c r="K49" i="107"/>
  <c r="G48" i="107"/>
  <c r="G47" i="107"/>
  <c r="G46" i="107"/>
  <c r="G45" i="107"/>
  <c r="K44" i="107"/>
  <c r="G43" i="107"/>
  <c r="G42" i="107"/>
  <c r="G41" i="107"/>
  <c r="G40" i="107"/>
  <c r="K39" i="107"/>
  <c r="G38" i="107"/>
  <c r="G37" i="107"/>
  <c r="G36" i="107"/>
  <c r="G35" i="107"/>
  <c r="K34" i="107"/>
  <c r="G33" i="107"/>
  <c r="G32" i="107"/>
  <c r="G31" i="107"/>
  <c r="G30" i="107"/>
  <c r="K29" i="107"/>
  <c r="G28" i="107"/>
  <c r="G27" i="107"/>
  <c r="G26" i="107"/>
  <c r="G25" i="107"/>
  <c r="K24" i="107"/>
  <c r="G23" i="107"/>
  <c r="G22" i="107"/>
  <c r="G21" i="107"/>
  <c r="G20" i="107"/>
  <c r="K19" i="107"/>
  <c r="C18" i="107"/>
  <c r="C19" i="107" s="1"/>
  <c r="L19" i="107" l="1"/>
  <c r="C24" i="107"/>
  <c r="G101" i="107"/>
  <c r="G103" i="107"/>
  <c r="G107" i="107"/>
  <c r="M19" i="107" l="1"/>
  <c r="C29" i="107"/>
  <c r="L24" i="107"/>
  <c r="M24" i="107" s="1"/>
  <c r="C34" i="107" l="1"/>
  <c r="L29" i="107"/>
  <c r="M29" i="107" s="1"/>
  <c r="L34" i="107" l="1"/>
  <c r="M34" i="107" s="1"/>
  <c r="C39" i="107"/>
  <c r="L39" i="107" l="1"/>
  <c r="M39" i="107" s="1"/>
  <c r="C44" i="107"/>
  <c r="C49" i="107" l="1"/>
  <c r="L44" i="107"/>
  <c r="M44" i="107" s="1"/>
  <c r="L49" i="107" l="1"/>
  <c r="M49" i="107" s="1"/>
  <c r="C54" i="107"/>
  <c r="L54" i="107" l="1"/>
  <c r="M54" i="107" s="1"/>
  <c r="C59" i="107"/>
  <c r="L59" i="107" l="1"/>
  <c r="M59" i="107" s="1"/>
  <c r="C64" i="107"/>
  <c r="C69" i="107" l="1"/>
  <c r="L64" i="107"/>
  <c r="M64" i="107" s="1"/>
  <c r="C74" i="107" l="1"/>
  <c r="L69" i="107"/>
  <c r="M69" i="107" s="1"/>
  <c r="L74" i="107" l="1"/>
  <c r="M74" i="107" s="1"/>
  <c r="C79" i="107"/>
  <c r="C97" i="107" l="1"/>
  <c r="L79" i="107"/>
  <c r="M79" i="107" s="1"/>
  <c r="C84" i="107"/>
  <c r="C102" i="107" s="1"/>
  <c r="L97" i="107" s="1"/>
  <c r="M97" i="107" l="1"/>
  <c r="L108" i="107"/>
  <c r="M108" i="107" l="1"/>
  <c r="K108" i="107" l="1"/>
  <c r="N19" i="107"/>
  <c r="N24" i="107"/>
  <c r="N29" i="107"/>
  <c r="N34" i="107"/>
  <c r="N39" i="107"/>
  <c r="N44" i="107"/>
  <c r="N49" i="107"/>
  <c r="N54" i="107"/>
  <c r="N59" i="107"/>
  <c r="N64" i="107"/>
  <c r="N69" i="107"/>
  <c r="N74" i="107"/>
  <c r="N79" i="107"/>
  <c r="N97" i="107"/>
  <c r="N108" i="107" l="1"/>
  <c r="O112" i="106" l="1"/>
  <c r="O111" i="106"/>
  <c r="G106" i="106"/>
  <c r="G102" i="106"/>
  <c r="D102" i="106"/>
  <c r="G100" i="106"/>
  <c r="K97" i="106"/>
  <c r="E97" i="106"/>
  <c r="G105" i="106" s="1"/>
  <c r="D97" i="106"/>
  <c r="G88" i="106"/>
  <c r="G87" i="106"/>
  <c r="G86" i="106"/>
  <c r="G85" i="106"/>
  <c r="K84" i="106"/>
  <c r="G83" i="106"/>
  <c r="G82" i="106"/>
  <c r="G81" i="106"/>
  <c r="G80" i="106"/>
  <c r="G78" i="106"/>
  <c r="G77" i="106"/>
  <c r="G76" i="106"/>
  <c r="G75" i="106"/>
  <c r="K74" i="106"/>
  <c r="G73" i="106"/>
  <c r="G72" i="106"/>
  <c r="G71" i="106"/>
  <c r="G70" i="106"/>
  <c r="K69" i="106"/>
  <c r="G68" i="106"/>
  <c r="G67" i="106"/>
  <c r="G66" i="106"/>
  <c r="G65" i="106"/>
  <c r="K64" i="106"/>
  <c r="G63" i="106"/>
  <c r="G62" i="106"/>
  <c r="G61" i="106"/>
  <c r="G60" i="106"/>
  <c r="K59" i="106"/>
  <c r="G58" i="106"/>
  <c r="G57" i="106"/>
  <c r="G56" i="106"/>
  <c r="G55" i="106"/>
  <c r="K54" i="106"/>
  <c r="G53" i="106"/>
  <c r="G52" i="106"/>
  <c r="G51" i="106"/>
  <c r="G50" i="106"/>
  <c r="K49" i="106"/>
  <c r="G48" i="106"/>
  <c r="G47" i="106"/>
  <c r="G46" i="106"/>
  <c r="G45" i="106"/>
  <c r="K44" i="106"/>
  <c r="G43" i="106"/>
  <c r="G42" i="106"/>
  <c r="G41" i="106"/>
  <c r="G40" i="106"/>
  <c r="K39" i="106"/>
  <c r="G38" i="106"/>
  <c r="G37" i="106"/>
  <c r="G36" i="106"/>
  <c r="G35" i="106"/>
  <c r="K34" i="106"/>
  <c r="G33" i="106"/>
  <c r="G32" i="106"/>
  <c r="G31" i="106"/>
  <c r="G30" i="106"/>
  <c r="K29" i="106"/>
  <c r="G28" i="106"/>
  <c r="G27" i="106"/>
  <c r="G26" i="106"/>
  <c r="G25" i="106"/>
  <c r="K24" i="106"/>
  <c r="G23" i="106"/>
  <c r="G22" i="106"/>
  <c r="G21" i="106"/>
  <c r="G20" i="106"/>
  <c r="K19" i="106"/>
  <c r="C18" i="106"/>
  <c r="C19" i="106" s="1"/>
  <c r="L19" i="106" l="1"/>
  <c r="C24" i="106"/>
  <c r="G101" i="106"/>
  <c r="G103" i="106"/>
  <c r="G107" i="106"/>
  <c r="G98" i="106"/>
  <c r="G104" i="106"/>
  <c r="G99" i="106"/>
  <c r="C29" i="106" l="1"/>
  <c r="L24" i="106"/>
  <c r="M24" i="106" s="1"/>
  <c r="M19" i="106"/>
  <c r="L29" i="106" l="1"/>
  <c r="M29" i="106" s="1"/>
  <c r="C34" i="106"/>
  <c r="L34" i="106" l="1"/>
  <c r="C39" i="106"/>
  <c r="L39" i="106" l="1"/>
  <c r="M39" i="106" s="1"/>
  <c r="C44" i="106"/>
  <c r="M34" i="106"/>
  <c r="C49" i="106" l="1"/>
  <c r="L44" i="106"/>
  <c r="L49" i="106" l="1"/>
  <c r="M49" i="106" s="1"/>
  <c r="C54" i="106"/>
  <c r="M44" i="106"/>
  <c r="L54" i="106" l="1"/>
  <c r="C59" i="106"/>
  <c r="L59" i="106" l="1"/>
  <c r="M59" i="106" s="1"/>
  <c r="C64" i="106"/>
  <c r="M54" i="106"/>
  <c r="C69" i="106" l="1"/>
  <c r="L64" i="106"/>
  <c r="M64" i="106" s="1"/>
  <c r="C74" i="106" l="1"/>
  <c r="L69" i="106"/>
  <c r="M69" i="106" s="1"/>
  <c r="C97" i="106" l="1"/>
  <c r="L74" i="106"/>
  <c r="M74" i="106" s="1"/>
  <c r="C79" i="106"/>
  <c r="C102" i="106" l="1"/>
  <c r="L97" i="106" s="1"/>
  <c r="C84" i="106"/>
  <c r="L84" i="106" s="1"/>
  <c r="M84" i="106" s="1"/>
  <c r="M97" i="106" l="1"/>
  <c r="L108" i="106"/>
  <c r="M108" i="106" l="1"/>
  <c r="K108" i="106" l="1"/>
  <c r="N24" i="106"/>
  <c r="N19" i="106"/>
  <c r="N29" i="106"/>
  <c r="N34" i="106"/>
  <c r="N39" i="106"/>
  <c r="N44" i="106"/>
  <c r="N49" i="106"/>
  <c r="N54" i="106"/>
  <c r="N59" i="106"/>
  <c r="N64" i="106"/>
  <c r="N69" i="106"/>
  <c r="N74" i="106"/>
  <c r="N84" i="106"/>
  <c r="N97" i="106"/>
  <c r="N108" i="106" l="1"/>
</calcChain>
</file>

<file path=xl/sharedStrings.xml><?xml version="1.0" encoding="utf-8"?>
<sst xmlns="http://schemas.openxmlformats.org/spreadsheetml/2006/main" count="804" uniqueCount="149">
  <si>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</si>
  <si>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</si>
  <si>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</si>
  <si>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</si>
  <si>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</si>
  <si>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</si>
  <si>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</si>
  <si>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</si>
  <si>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</si>
  <si>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</si>
  <si>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</si>
  <si>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</si>
  <si>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</si>
  <si>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</si>
  <si>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</si>
  <si>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</si>
  <si>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</si>
  <si>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</si>
  <si>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</si>
  <si>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</si>
  <si>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</si>
  <si>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</si>
  <si>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</si>
  <si>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</si>
  <si>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</si>
  <si>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</si>
  <si>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</si>
  <si>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</si>
  <si>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</si>
  <si>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</si>
  <si>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</si>
  <si>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</si>
  <si>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</si>
  <si>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</si>
  <si>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</si>
  <si>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</si>
  <si>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</si>
  <si>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</si>
  <si>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</si>
  <si>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</si>
  <si>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</si>
  <si>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</si>
  <si>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</si>
  <si>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</si>
  <si>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</si>
  <si>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</si>
  <si>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</si>
  <si>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</si>
  <si>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</si>
  <si>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</si>
  <si>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</si>
  <si>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</si>
  <si>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</si>
  <si>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</si>
  <si>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</si>
  <si>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</si>
  <si>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</si>
  <si>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</si>
  <si>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</si>
  <si>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</si>
  <si>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</si>
  <si>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</si>
  <si>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</si>
  <si>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</si>
  <si>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</si>
  <si>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</si>
  <si>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</si>
  <si>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</si>
  <si>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</si>
  <si>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</si>
  <si>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</si>
  <si>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</si>
  <si>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</si>
  <si>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</si>
  <si>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</si>
  <si>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</si>
  <si>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</si>
  <si>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</si>
  <si>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</si>
  <si>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</si>
  <si>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</si>
  <si>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</si>
  <si>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</si>
  <si>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</si>
  <si>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</si>
  <si>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</si>
  <si>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</si>
  <si>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</si>
  <si>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</si>
  <si>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</si>
  <si>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</si>
  <si>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</si>
  <si>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</si>
  <si>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</si>
  <si>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</si>
  <si>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</si>
  <si>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</si>
  <si>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</si>
  <si>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</si>
  <si>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</si>
  <si>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</si>
  <si>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r>
      <t xml:space="preserve">Qt = </t>
    </r>
    <r>
      <rPr>
        <sz val="10"/>
        <color theme="1"/>
        <rFont val="Calibri"/>
        <family val="2"/>
      </rPr>
      <t>ΣQi</t>
    </r>
  </si>
  <si>
    <t>Medida de la temperatura</t>
  </si>
  <si>
    <t>Detalle del aforo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</si>
  <si>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</si>
  <si>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Calido</t>
  </si>
  <si>
    <t>Durante la jornada de aforo se determinó el perfil de la sección de aforo, se midió la altura del nivel del agua al sensor . Teniendo en cuenta las observaciones de los asesores del GTA de Ingeniería Hidráulica y Ambiental los aforos se realizaron así: Si y &lt; 0.12m se toma la velocidad a 0.6 de h. Si y&gt;=0.12m se toman velocidades a 0,2 - 0,6 y 0,8 de y</t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</si>
  <si>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</si>
  <si>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>Proceso de aforo</t>
  </si>
  <si>
    <t>Templado</t>
  </si>
  <si>
    <t>RIO DOÑA JUANA - DORADA VÍA NORCASIA</t>
  </si>
  <si>
    <r>
      <t xml:space="preserve">Tiempo contador </t>
    </r>
    <r>
      <rPr>
        <b/>
        <sz val="10"/>
        <color rgb="FF000000"/>
        <rFont val="Calibri"/>
        <family val="2"/>
      </rPr>
      <t xml:space="preserve">(tc) </t>
    </r>
    <r>
      <rPr>
        <sz val="10"/>
        <color rgb="FF000000"/>
        <rFont val="Calibri"/>
        <family val="2"/>
      </rPr>
      <t>[s]</t>
    </r>
  </si>
  <si>
    <t>Cálido</t>
  </si>
  <si>
    <t>x</t>
  </si>
  <si>
    <r>
      <rPr>
        <b/>
        <i/>
        <sz val="10"/>
        <rFont val="Calibri"/>
        <family val="2"/>
      </rPr>
      <t>Vi</t>
    </r>
    <r>
      <rPr>
        <sz val="10"/>
        <rFont val="Calibri"/>
        <family val="2"/>
      </rPr>
      <t>= Velocidad a cada yi</t>
    </r>
  </si>
  <si>
    <r>
      <rPr>
        <b/>
        <i/>
        <sz val="10"/>
        <rFont val="Calibri"/>
        <family val="2"/>
      </rPr>
      <t>hi</t>
    </r>
    <r>
      <rPr>
        <sz val="10"/>
        <rFont val="Calibri"/>
        <family val="2"/>
      </rPr>
      <t>= Profundidad correspondiente a cada abscisa</t>
    </r>
  </si>
  <si>
    <r>
      <rPr>
        <b/>
        <i/>
        <sz val="10"/>
        <rFont val="Calibri"/>
        <family val="2"/>
      </rPr>
      <t>y</t>
    </r>
    <r>
      <rPr>
        <b/>
        <sz val="10"/>
        <rFont val="Calibri"/>
        <family val="2"/>
      </rPr>
      <t>=</t>
    </r>
    <r>
      <rPr>
        <sz val="10"/>
        <rFont val="Calibri"/>
        <family val="2"/>
      </rPr>
      <t xml:space="preserve"> Profundidad en la mitad dovela</t>
    </r>
  </si>
  <si>
    <r>
      <rPr>
        <b/>
        <i/>
        <sz val="10"/>
        <rFont val="Calibri"/>
        <family val="2"/>
      </rPr>
      <t>Rev</t>
    </r>
    <r>
      <rPr>
        <sz val="10"/>
        <rFont val="Calibri"/>
        <family val="2"/>
      </rPr>
      <t xml:space="preserve">= # vueltas en </t>
    </r>
    <r>
      <rPr>
        <b/>
        <sz val="10"/>
        <rFont val="Calibri"/>
        <family val="2"/>
      </rPr>
      <t>tc</t>
    </r>
  </si>
  <si>
    <r>
      <rPr>
        <b/>
        <i/>
        <sz val="10"/>
        <rFont val="Calibri"/>
        <family val="2"/>
      </rPr>
      <t>Qi</t>
    </r>
    <r>
      <rPr>
        <sz val="10"/>
        <rFont val="Calibri"/>
        <family val="2"/>
      </rPr>
      <t>= Caudal por dovela</t>
    </r>
  </si>
  <si>
    <r>
      <rPr>
        <b/>
        <i/>
        <sz val="10"/>
        <rFont val="Calibri"/>
        <family val="2"/>
      </rPr>
      <t>T</t>
    </r>
    <r>
      <rPr>
        <b/>
        <i/>
        <sz val="10"/>
        <rFont val="Calibri"/>
        <family val="2"/>
      </rPr>
      <t>ll</t>
    </r>
    <r>
      <rPr>
        <sz val="10"/>
        <rFont val="Calibri"/>
        <family val="2"/>
      </rPr>
      <t>= Tiempo de llenado-solidos suspendidos</t>
    </r>
  </si>
  <si>
    <r>
      <rPr>
        <b/>
        <i/>
        <sz val="10"/>
        <rFont val="Calibri"/>
        <family val="2"/>
      </rPr>
      <t>Rpm</t>
    </r>
    <r>
      <rPr>
        <sz val="10"/>
        <rFont val="Calibri"/>
        <family val="2"/>
      </rPr>
      <t>= Revoluciones por minuto</t>
    </r>
  </si>
  <si>
    <r>
      <rPr>
        <b/>
        <i/>
        <sz val="10"/>
        <rFont val="Calibri"/>
        <family val="2"/>
      </rPr>
      <t>Ai</t>
    </r>
    <r>
      <rPr>
        <sz val="10"/>
        <rFont val="Calibri"/>
        <family val="2"/>
      </rPr>
      <t>= Área por dovela</t>
    </r>
  </si>
  <si>
    <r>
      <rPr>
        <b/>
        <i/>
        <sz val="10"/>
        <rFont val="Calibri"/>
        <family val="2"/>
      </rPr>
      <t>Bq</t>
    </r>
    <r>
      <rPr>
        <sz val="10"/>
        <rFont val="Calibri"/>
        <family val="2"/>
      </rPr>
      <t xml:space="preserve"> = Boquilla muestreador solidos suspendidos</t>
    </r>
  </si>
  <si>
    <r>
      <t>h</t>
    </r>
    <r>
      <rPr>
        <b/>
        <sz val="11"/>
        <color rgb="FF000000"/>
        <rFont val="Calibri"/>
        <family val="2"/>
      </rPr>
      <t xml:space="preserve">i      </t>
    </r>
    <r>
      <rPr>
        <b/>
        <sz val="11"/>
        <color rgb="FF000000"/>
        <rFont val="Calibri"/>
        <family val="2"/>
      </rPr>
      <t xml:space="preserve">  [m]</t>
    </r>
  </si>
  <si>
    <r>
      <t>y</t>
    </r>
    <r>
      <rPr>
        <b/>
        <sz val="11"/>
        <color rgb="FF000000"/>
        <rFont val="Calibri"/>
        <family val="2"/>
      </rPr>
      <t xml:space="preserve">i   </t>
    </r>
    <r>
      <rPr>
        <b/>
        <sz val="11"/>
        <color rgb="FF000000"/>
        <rFont val="Calibri"/>
        <family val="2"/>
      </rPr>
      <t>[m]</t>
    </r>
  </si>
  <si>
    <r>
      <t>V</t>
    </r>
    <r>
      <rPr>
        <b/>
        <sz val="11"/>
        <color rgb="FF000000"/>
        <rFont val="Calibri"/>
        <family val="2"/>
      </rPr>
      <t>i</t>
    </r>
  </si>
  <si>
    <r>
      <t>A</t>
    </r>
    <r>
      <rPr>
        <b/>
        <sz val="11"/>
        <color rgb="FF000000"/>
        <rFont val="Calibri"/>
        <family val="2"/>
      </rPr>
      <t>i</t>
    </r>
  </si>
  <si>
    <r>
      <t>Q</t>
    </r>
    <r>
      <rPr>
        <b/>
        <sz val="11"/>
        <color rgb="FF000000"/>
        <rFont val="Calibri"/>
        <family val="2"/>
      </rPr>
      <t>i</t>
    </r>
  </si>
  <si>
    <r>
      <t>T</t>
    </r>
    <r>
      <rPr>
        <b/>
        <sz val="11"/>
        <color rgb="FF000000"/>
        <rFont val="Calibri"/>
        <family val="2"/>
      </rPr>
      <t>ll</t>
    </r>
  </si>
  <si>
    <r>
      <t>[m</t>
    </r>
    <r>
      <rPr>
        <b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]</t>
    </r>
  </si>
  <si>
    <r>
      <t>[m</t>
    </r>
    <r>
      <rPr>
        <b/>
        <sz val="11"/>
        <color rgb="FF000000"/>
        <rFont val="Calibri"/>
        <family val="2"/>
      </rPr>
      <t>3</t>
    </r>
    <r>
      <rPr>
        <b/>
        <sz val="11"/>
        <color rgb="FF000000"/>
        <rFont val="Calibri"/>
        <family val="2"/>
      </rPr>
      <t>/s]</t>
    </r>
  </si>
  <si>
    <r>
      <rPr>
        <b/>
        <sz val="10"/>
        <rFont val="Calibri"/>
        <family val="2"/>
      </rPr>
      <t>Tll</t>
    </r>
    <r>
      <rPr>
        <sz val="10"/>
        <rFont val="Calibri"/>
        <family val="2"/>
      </rPr>
      <t xml:space="preserve"> es a partir de la curva "Sampling Volume 690 CC" ingresando         en [ft/s]  </t>
    </r>
  </si>
  <si>
    <r>
      <t xml:space="preserve">At = </t>
    </r>
    <r>
      <rPr>
        <sz val="10"/>
        <color rgb="FF000000"/>
        <rFont val="Calibri"/>
        <family val="2"/>
      </rPr>
      <t>ΣAi</t>
    </r>
  </si>
  <si>
    <r>
      <t xml:space="preserve">Qt = </t>
    </r>
    <r>
      <rPr>
        <sz val="10"/>
        <color rgb="FF000000"/>
        <rFont val="Calibri"/>
        <family val="2"/>
      </rPr>
      <t>ΣQi</t>
    </r>
  </si>
  <si>
    <r>
      <t xml:space="preserve">Nivel del agua en el sensor (m) </t>
    </r>
    <r>
      <rPr>
        <sz val="9"/>
        <color rgb="FF000000"/>
        <rFont val="Calibri"/>
        <family val="2"/>
      </rPr>
      <t>(Dato suministrado por el administrador de la red)</t>
    </r>
  </si>
  <si>
    <t>Durante el dia del aforo, el sensor no registro ningun dato de nivel.</t>
  </si>
  <si>
    <t>SIN DATO</t>
  </si>
  <si>
    <t>CARLOS COCUY</t>
  </si>
  <si>
    <t>RIO DOÑA JUANA</t>
  </si>
  <si>
    <t xml:space="preserve">  5°30'3.58"N</t>
  </si>
  <si>
    <t xml:space="preserve"> 74°41'15.50"W</t>
  </si>
  <si>
    <t>En este aforo se asumió la geometría del aforo No2 y la altura de la lámina de agua corresponde a la medida desde el puente hasta el nivel de agua. Se realizaron dos lecturas en cada dovela. Adicionalmente se asume la velocidad de fondo igual a 0</t>
  </si>
  <si>
    <t xml:space="preserve">RIO DOÑA JUANA </t>
  </si>
  <si>
    <t>C</t>
  </si>
  <si>
    <t>Medida del sensor al nivel del agua</t>
  </si>
  <si>
    <t>Detalle del aforo realizado</t>
  </si>
  <si>
    <t>Preparación del sitio para realizar el aforo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</si>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</sst>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9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13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642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Font="1" applyBorder="1"/>
    <xf numFmtId="0" fontId="0" fillId="0" borderId="0" xfId="0" applyFont="1" applyAlignment="1"/>
    <xf numFmtId="0" fontId="2" fillId="0" borderId="38" xfId="0" applyFont="1" applyBorder="1"/>
    <xf numFmtId="0" fontId="2" fillId="0" borderId="0" xfId="0" applyFont="1"/>
    <xf numFmtId="0" fontId="2" fillId="0" borderId="0" xfId="0" applyFont="1" applyAlignment="1"/>
    <xf numFmtId="0" fontId="17" fillId="6" borderId="77" xfId="0" applyFont="1" applyFill="1" applyBorder="1" applyAlignment="1">
      <alignment horizontal="center" vertical="center"/>
    </xf>
    <xf numFmtId="0" fontId="17" fillId="6" borderId="94" xfId="0" applyFont="1" applyFill="1" applyBorder="1" applyAlignment="1">
      <alignment vertical="center"/>
    </xf>
    <xf numFmtId="0" fontId="17" fillId="6" borderId="94" xfId="0" applyFont="1" applyFill="1" applyBorder="1" applyAlignment="1">
      <alignment horizontal="center" vertical="center"/>
    </xf>
    <xf numFmtId="0" fontId="17" fillId="6" borderId="55" xfId="0" applyFont="1" applyFill="1" applyBorder="1" applyAlignment="1">
      <alignment horizontal="center" vertical="center"/>
    </xf>
    <xf numFmtId="0" fontId="2" fillId="0" borderId="88" xfId="0" applyFont="1" applyBorder="1"/>
    <xf numFmtId="0" fontId="17" fillId="6" borderId="88" xfId="0" applyFont="1" applyFill="1" applyBorder="1" applyAlignment="1">
      <alignment vertical="center"/>
    </xf>
    <xf numFmtId="0" fontId="17" fillId="6" borderId="97" xfId="0" applyFont="1" applyFill="1" applyBorder="1" applyAlignment="1">
      <alignment horizontal="center" vertical="center"/>
    </xf>
    <xf numFmtId="0" fontId="17" fillId="6" borderId="84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6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 wrapText="1"/>
    </xf>
    <xf numFmtId="0" fontId="17" fillId="0" borderId="92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vertical="center"/>
    </xf>
    <xf numFmtId="164" fontId="14" fillId="0" borderId="92" xfId="0" applyNumberFormat="1" applyFont="1" applyFill="1" applyBorder="1" applyAlignment="1">
      <alignment vertical="center"/>
    </xf>
    <xf numFmtId="0" fontId="17" fillId="0" borderId="98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4" xfId="0" applyFont="1" applyFill="1" applyBorder="1" applyAlignment="1">
      <alignment horizontal="center"/>
    </xf>
    <xf numFmtId="2" fontId="14" fillId="0" borderId="94" xfId="0" applyNumberFormat="1" applyFont="1" applyFill="1" applyBorder="1" applyAlignment="1">
      <alignment horizontal="center" vertical="center"/>
    </xf>
    <xf numFmtId="2" fontId="14" fillId="0" borderId="94" xfId="0" applyNumberFormat="1" applyFont="1" applyFill="1" applyBorder="1" applyAlignment="1">
      <alignment vertical="center"/>
    </xf>
    <xf numFmtId="0" fontId="2" fillId="0" borderId="94" xfId="0" applyFont="1" applyFill="1" applyBorder="1"/>
    <xf numFmtId="164" fontId="14" fillId="0" borderId="94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5" xfId="0" applyFont="1" applyFill="1" applyBorder="1" applyAlignment="1">
      <alignment vertical="center" wrapText="1"/>
    </xf>
    <xf numFmtId="0" fontId="21" fillId="0" borderId="38" xfId="0" applyFont="1" applyBorder="1"/>
    <xf numFmtId="2" fontId="14" fillId="10" borderId="109" xfId="0" applyNumberFormat="1" applyFont="1" applyFill="1" applyBorder="1" applyAlignment="1">
      <alignment horizontal="center" vertical="center"/>
    </xf>
    <xf numFmtId="2" fontId="14" fillId="10" borderId="109" xfId="0" applyNumberFormat="1" applyFont="1" applyFill="1" applyBorder="1" applyAlignment="1">
      <alignment horizontal="center"/>
    </xf>
    <xf numFmtId="164" fontId="2" fillId="10" borderId="109" xfId="0" applyNumberFormat="1" applyFont="1" applyFill="1" applyBorder="1" applyAlignment="1">
      <alignment horizontal="center"/>
    </xf>
    <xf numFmtId="164" fontId="2" fillId="9" borderId="109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9" xfId="0" applyFont="1" applyFill="1" applyBorder="1" applyAlignment="1">
      <alignment horizontal="center"/>
    </xf>
    <xf numFmtId="2" fontId="14" fillId="10" borderId="99" xfId="0" applyNumberFormat="1" applyFont="1" applyFill="1" applyBorder="1" applyAlignment="1">
      <alignment horizontal="center" vertical="center"/>
    </xf>
    <xf numFmtId="2" fontId="14" fillId="10" borderId="99" xfId="0" applyNumberFormat="1" applyFont="1" applyFill="1" applyBorder="1" applyAlignment="1">
      <alignment horizontal="center"/>
    </xf>
    <xf numFmtId="164" fontId="2" fillId="10" borderId="99" xfId="0" applyNumberFormat="1" applyFont="1" applyFill="1" applyBorder="1" applyAlignment="1">
      <alignment horizontal="center"/>
    </xf>
    <xf numFmtId="164" fontId="2" fillId="9" borderId="99" xfId="0" applyNumberFormat="1" applyFont="1" applyFill="1" applyBorder="1" applyAlignment="1">
      <alignment horizontal="center"/>
    </xf>
    <xf numFmtId="2" fontId="14" fillId="10" borderId="116" xfId="0" applyNumberFormat="1" applyFont="1" applyFill="1" applyBorder="1" applyAlignment="1">
      <alignment horizontal="center" vertical="center"/>
    </xf>
    <xf numFmtId="2" fontId="14" fillId="10" borderId="116" xfId="0" applyNumberFormat="1" applyFont="1" applyFill="1" applyBorder="1" applyAlignment="1">
      <alignment horizontal="center"/>
    </xf>
    <xf numFmtId="164" fontId="2" fillId="10" borderId="116" xfId="0" applyNumberFormat="1" applyFont="1" applyFill="1" applyBorder="1" applyAlignment="1">
      <alignment horizontal="center"/>
    </xf>
    <xf numFmtId="164" fontId="2" fillId="11" borderId="116" xfId="0" applyNumberFormat="1" applyFont="1" applyFill="1" applyBorder="1" applyAlignment="1">
      <alignment horizontal="center"/>
    </xf>
    <xf numFmtId="164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2" fillId="5" borderId="48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0" fontId="22" fillId="0" borderId="4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5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2" fillId="0" borderId="64" xfId="0" applyFont="1" applyFill="1" applyBorder="1" applyAlignment="1">
      <alignment horizontal="center" vertical="center"/>
    </xf>
    <xf numFmtId="0" fontId="23" fillId="0" borderId="71" xfId="0" applyFont="1" applyFill="1" applyBorder="1" applyAlignment="1">
      <alignment vertical="top" wrapText="1"/>
    </xf>
    <xf numFmtId="0" fontId="23" fillId="0" borderId="55" xfId="0" applyFont="1" applyFill="1" applyBorder="1" applyAlignment="1">
      <alignment horizontal="center" vertical="top" wrapText="1"/>
    </xf>
    <xf numFmtId="0" fontId="23" fillId="0" borderId="74" xfId="0" applyFont="1" applyFill="1" applyBorder="1" applyAlignment="1">
      <alignment horizontal="center"/>
    </xf>
    <xf numFmtId="0" fontId="22" fillId="0" borderId="64" xfId="0" applyFont="1" applyFill="1" applyBorder="1" applyAlignment="1">
      <alignment horizontal="center" vertical="top" wrapText="1"/>
    </xf>
    <xf numFmtId="0" fontId="22" fillId="0" borderId="81" xfId="0" applyFont="1" applyFill="1" applyBorder="1" applyAlignment="1">
      <alignment horizontal="center" vertical="center" wrapText="1"/>
    </xf>
    <xf numFmtId="20" fontId="22" fillId="0" borderId="84" xfId="0" applyNumberFormat="1" applyFont="1" applyFill="1" applyBorder="1" applyAlignment="1">
      <alignment horizontal="center" vertical="top"/>
    </xf>
    <xf numFmtId="0" fontId="22" fillId="0" borderId="85" xfId="0" applyFont="1" applyFill="1" applyBorder="1" applyAlignment="1">
      <alignment horizontal="center" vertical="top"/>
    </xf>
    <xf numFmtId="0" fontId="22" fillId="0" borderId="74" xfId="0" applyFont="1" applyFill="1" applyBorder="1" applyAlignment="1">
      <alignment horizontal="center" vertical="center"/>
    </xf>
    <xf numFmtId="0" fontId="22" fillId="0" borderId="88" xfId="0" applyFont="1" applyFill="1" applyBorder="1" applyAlignment="1">
      <alignment horizontal="center" vertical="center"/>
    </xf>
    <xf numFmtId="164" fontId="17" fillId="5" borderId="118" xfId="0" applyNumberFormat="1" applyFont="1" applyFill="1" applyBorder="1" applyAlignment="1">
      <alignment horizontal="center" vertical="center"/>
    </xf>
    <xf numFmtId="0" fontId="2" fillId="0" borderId="0" xfId="1" applyFont="1" applyAlignment="1"/>
    <xf numFmtId="0" fontId="2" fillId="0" borderId="0" xfId="1" applyFont="1" applyAlignment="1">
      <alignment horizontal="center"/>
    </xf>
    <xf numFmtId="0" fontId="2" fillId="0" borderId="38" xfId="1" applyFont="1" applyBorder="1"/>
    <xf numFmtId="0" fontId="2" fillId="0" borderId="0" xfId="1" applyFont="1"/>
    <xf numFmtId="0" fontId="2" fillId="0" borderId="45" xfId="1" applyFont="1" applyBorder="1" applyAlignment="1">
      <alignment horizontal="center" vertical="center"/>
    </xf>
    <xf numFmtId="0" fontId="2" fillId="0" borderId="45" xfId="1" applyFont="1" applyBorder="1" applyAlignment="1">
      <alignment vertical="center"/>
    </xf>
    <xf numFmtId="0" fontId="22" fillId="5" borderId="48" xfId="1" applyFont="1" applyFill="1" applyBorder="1" applyAlignment="1">
      <alignment horizontal="center" vertical="center"/>
    </xf>
    <xf numFmtId="0" fontId="2" fillId="0" borderId="47" xfId="1" applyFont="1" applyBorder="1" applyAlignment="1">
      <alignment vertical="center"/>
    </xf>
    <xf numFmtId="0" fontId="2" fillId="0" borderId="38" xfId="1" applyFont="1" applyFill="1" applyBorder="1" applyAlignment="1">
      <alignment vertical="center"/>
    </xf>
    <xf numFmtId="0" fontId="2" fillId="0" borderId="39" xfId="1" applyFont="1" applyFill="1" applyBorder="1" applyAlignment="1">
      <alignment horizontal="center" vertical="center"/>
    </xf>
    <xf numFmtId="0" fontId="2" fillId="0" borderId="45" xfId="1" applyFont="1" applyFill="1" applyBorder="1" applyAlignment="1">
      <alignment vertical="center"/>
    </xf>
    <xf numFmtId="0" fontId="22" fillId="0" borderId="48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3" fillId="0" borderId="55" xfId="1" applyFont="1" applyFill="1" applyBorder="1" applyAlignment="1">
      <alignment horizontal="center" vertical="center"/>
    </xf>
    <xf numFmtId="0" fontId="2" fillId="0" borderId="61" xfId="1" applyFont="1" applyFill="1" applyBorder="1" applyAlignment="1">
      <alignment horizontal="center" vertical="center"/>
    </xf>
    <xf numFmtId="0" fontId="22" fillId="0" borderId="64" xfId="1" applyFont="1" applyFill="1" applyBorder="1" applyAlignment="1">
      <alignment horizontal="center" vertical="center"/>
    </xf>
    <xf numFmtId="0" fontId="23" fillId="0" borderId="71" xfId="1" applyFont="1" applyFill="1" applyBorder="1" applyAlignment="1">
      <alignment vertical="top" wrapText="1"/>
    </xf>
    <xf numFmtId="0" fontId="23" fillId="0" borderId="55" xfId="1" applyFont="1" applyFill="1" applyBorder="1" applyAlignment="1">
      <alignment horizontal="center" vertical="top" wrapText="1"/>
    </xf>
    <xf numFmtId="0" fontId="23" fillId="0" borderId="74" xfId="1" applyFont="1" applyFill="1" applyBorder="1" applyAlignment="1">
      <alignment horizontal="center"/>
    </xf>
    <xf numFmtId="0" fontId="22" fillId="0" borderId="64" xfId="1" applyFont="1" applyFill="1" applyBorder="1" applyAlignment="1">
      <alignment horizontal="center" vertical="top" wrapText="1"/>
    </xf>
    <xf numFmtId="0" fontId="22" fillId="0" borderId="81" xfId="1" applyFont="1" applyFill="1" applyBorder="1" applyAlignment="1">
      <alignment horizontal="center" vertical="center" wrapText="1"/>
    </xf>
    <xf numFmtId="20" fontId="22" fillId="0" borderId="84" xfId="1" applyNumberFormat="1" applyFont="1" applyFill="1" applyBorder="1" applyAlignment="1">
      <alignment horizontal="center" vertical="top"/>
    </xf>
    <xf numFmtId="0" fontId="22" fillId="0" borderId="85" xfId="1" applyFont="1" applyFill="1" applyBorder="1" applyAlignment="1">
      <alignment horizontal="center" vertical="top"/>
    </xf>
    <xf numFmtId="0" fontId="16" fillId="0" borderId="85" xfId="1" applyFont="1" applyFill="1" applyBorder="1" applyAlignment="1">
      <alignment horizontal="center" vertical="top"/>
    </xf>
    <xf numFmtId="0" fontId="22" fillId="0" borderId="74" xfId="1" applyFont="1" applyFill="1" applyBorder="1" applyAlignment="1">
      <alignment horizontal="center" vertical="center"/>
    </xf>
    <xf numFmtId="0" fontId="22" fillId="0" borderId="88" xfId="1" applyFont="1" applyFill="1" applyBorder="1" applyAlignment="1">
      <alignment horizontal="center" vertical="center"/>
    </xf>
    <xf numFmtId="0" fontId="17" fillId="6" borderId="77" xfId="1" applyFont="1" applyFill="1" applyBorder="1" applyAlignment="1">
      <alignment horizontal="center" vertical="center"/>
    </xf>
    <xf numFmtId="0" fontId="17" fillId="6" borderId="94" xfId="1" applyFont="1" applyFill="1" applyBorder="1" applyAlignment="1">
      <alignment vertical="center"/>
    </xf>
    <xf numFmtId="0" fontId="17" fillId="6" borderId="94" xfId="1" applyFont="1" applyFill="1" applyBorder="1" applyAlignment="1">
      <alignment horizontal="center" vertical="center"/>
    </xf>
    <xf numFmtId="0" fontId="17" fillId="6" borderId="55" xfId="1" applyFont="1" applyFill="1" applyBorder="1" applyAlignment="1">
      <alignment horizontal="center" vertical="center"/>
    </xf>
    <xf numFmtId="0" fontId="2" fillId="0" borderId="88" xfId="1" applyFont="1" applyBorder="1"/>
    <xf numFmtId="0" fontId="17" fillId="6" borderId="88" xfId="1" applyFont="1" applyFill="1" applyBorder="1" applyAlignment="1">
      <alignment vertical="center"/>
    </xf>
    <xf numFmtId="0" fontId="17" fillId="6" borderId="97" xfId="1" applyFont="1" applyFill="1" applyBorder="1" applyAlignment="1">
      <alignment horizontal="center" vertical="center"/>
    </xf>
    <xf numFmtId="0" fontId="17" fillId="6" borderId="84" xfId="1" applyFont="1" applyFill="1" applyBorder="1" applyAlignment="1">
      <alignment horizontal="center" vertical="center"/>
    </xf>
    <xf numFmtId="0" fontId="21" fillId="0" borderId="0" xfId="1" applyFont="1" applyFill="1"/>
    <xf numFmtId="0" fontId="17" fillId="0" borderId="76" xfId="1" applyFont="1" applyFill="1" applyBorder="1" applyAlignment="1">
      <alignment horizontal="center" vertical="center" wrapText="1"/>
    </xf>
    <xf numFmtId="0" fontId="2" fillId="0" borderId="92" xfId="1" applyFont="1" applyFill="1" applyBorder="1" applyAlignment="1">
      <alignment horizontal="center" vertical="center" wrapText="1"/>
    </xf>
    <xf numFmtId="0" fontId="17" fillId="0" borderId="92" xfId="1" applyFont="1" applyFill="1" applyBorder="1" applyAlignment="1">
      <alignment horizontal="center" vertical="center"/>
    </xf>
    <xf numFmtId="0" fontId="12" fillId="0" borderId="92" xfId="1" applyFont="1" applyFill="1" applyBorder="1" applyAlignment="1">
      <alignment horizontal="center"/>
    </xf>
    <xf numFmtId="2" fontId="14" fillId="0" borderId="92" xfId="1" applyNumberFormat="1" applyFont="1" applyFill="1" applyBorder="1" applyAlignment="1">
      <alignment horizontal="center" vertical="center"/>
    </xf>
    <xf numFmtId="2" fontId="14" fillId="0" borderId="92" xfId="1" applyNumberFormat="1" applyFont="1" applyFill="1" applyBorder="1" applyAlignment="1">
      <alignment vertical="center"/>
    </xf>
    <xf numFmtId="164" fontId="14" fillId="0" borderId="92" xfId="1" applyNumberFormat="1" applyFont="1" applyFill="1" applyBorder="1" applyAlignment="1">
      <alignment vertical="center"/>
    </xf>
    <xf numFmtId="164" fontId="14" fillId="0" borderId="92" xfId="1" applyNumberFormat="1" applyFont="1" applyFill="1" applyBorder="1" applyAlignment="1">
      <alignment horizontal="center" vertical="center"/>
    </xf>
    <xf numFmtId="0" fontId="17" fillId="0" borderId="98" xfId="1" applyFont="1" applyFill="1" applyBorder="1" applyAlignment="1">
      <alignment horizontal="center" vertical="center"/>
    </xf>
    <xf numFmtId="166" fontId="21" fillId="0" borderId="0" xfId="1" applyNumberFormat="1" applyFont="1" applyFill="1"/>
    <xf numFmtId="0" fontId="2" fillId="0" borderId="0" xfId="1" applyFont="1" applyFill="1" applyAlignment="1"/>
    <xf numFmtId="0" fontId="12" fillId="0" borderId="94" xfId="1" applyFont="1" applyFill="1" applyBorder="1" applyAlignment="1">
      <alignment horizontal="center"/>
    </xf>
    <xf numFmtId="2" fontId="14" fillId="0" borderId="94" xfId="1" applyNumberFormat="1" applyFont="1" applyFill="1" applyBorder="1" applyAlignment="1">
      <alignment horizontal="center" vertical="center"/>
    </xf>
    <xf numFmtId="2" fontId="14" fillId="0" borderId="94" xfId="1" applyNumberFormat="1" applyFont="1" applyFill="1" applyBorder="1" applyAlignment="1">
      <alignment vertical="center"/>
    </xf>
    <xf numFmtId="0" fontId="2" fillId="0" borderId="94" xfId="1" applyFont="1" applyFill="1" applyBorder="1"/>
    <xf numFmtId="164" fontId="14" fillId="0" borderId="94" xfId="1" applyNumberFormat="1" applyFont="1" applyFill="1" applyBorder="1" applyAlignment="1">
      <alignment horizontal="center" vertical="center"/>
    </xf>
    <xf numFmtId="164" fontId="21" fillId="0" borderId="0" xfId="1" applyNumberFormat="1" applyFont="1" applyFill="1"/>
    <xf numFmtId="0" fontId="12" fillId="0" borderId="99" xfId="1" applyFont="1" applyFill="1" applyBorder="1" applyAlignment="1">
      <alignment horizontal="center"/>
    </xf>
    <xf numFmtId="2" fontId="14" fillId="0" borderId="99" xfId="1" applyNumberFormat="1" applyFont="1" applyFill="1" applyBorder="1" applyAlignment="1">
      <alignment horizontal="center" vertical="center"/>
    </xf>
    <xf numFmtId="2" fontId="14" fillId="0" borderId="99" xfId="1" applyNumberFormat="1" applyFont="1" applyFill="1" applyBorder="1" applyAlignment="1">
      <alignment vertical="center"/>
    </xf>
    <xf numFmtId="0" fontId="2" fillId="0" borderId="99" xfId="1" applyFont="1" applyFill="1" applyBorder="1"/>
    <xf numFmtId="164" fontId="14" fillId="0" borderId="99" xfId="1" applyNumberFormat="1" applyFont="1" applyFill="1" applyBorder="1" applyAlignment="1">
      <alignment horizontal="center" vertical="center"/>
    </xf>
    <xf numFmtId="0" fontId="12" fillId="0" borderId="102" xfId="1" applyFont="1" applyFill="1" applyBorder="1" applyAlignment="1">
      <alignment horizontal="center"/>
    </xf>
    <xf numFmtId="2" fontId="14" fillId="0" borderId="102" xfId="1" applyNumberFormat="1" applyFont="1" applyFill="1" applyBorder="1" applyAlignment="1">
      <alignment horizontal="center" vertical="center"/>
    </xf>
    <xf numFmtId="2" fontId="14" fillId="0" borderId="102" xfId="1" applyNumberFormat="1" applyFont="1" applyFill="1" applyBorder="1" applyAlignment="1">
      <alignment vertical="center"/>
    </xf>
    <xf numFmtId="0" fontId="2" fillId="0" borderId="102" xfId="1" applyFont="1" applyFill="1" applyBorder="1"/>
    <xf numFmtId="164" fontId="14" fillId="0" borderId="102" xfId="1" applyNumberFormat="1" applyFont="1" applyFill="1" applyBorder="1" applyAlignment="1">
      <alignment horizontal="center" vertical="center"/>
    </xf>
    <xf numFmtId="0" fontId="3" fillId="0" borderId="0" xfId="1" applyFont="1"/>
    <xf numFmtId="0" fontId="2" fillId="0" borderId="0" xfId="1"/>
    <xf numFmtId="0" fontId="21" fillId="0" borderId="50" xfId="1" applyFont="1" applyBorder="1"/>
    <xf numFmtId="0" fontId="27" fillId="13" borderId="45" xfId="1" applyFont="1" applyFill="1" applyBorder="1" applyAlignment="1">
      <alignment vertical="center" wrapText="1"/>
    </xf>
    <xf numFmtId="0" fontId="21" fillId="0" borderId="0" xfId="1" applyFont="1"/>
    <xf numFmtId="0" fontId="27" fillId="13" borderId="73" xfId="1" applyFont="1" applyFill="1" applyBorder="1" applyAlignment="1">
      <alignment vertical="center" wrapText="1"/>
    </xf>
    <xf numFmtId="0" fontId="21" fillId="0" borderId="38" xfId="1" applyFont="1" applyBorder="1"/>
    <xf numFmtId="2" fontId="14" fillId="10" borderId="109" xfId="1" applyNumberFormat="1" applyFont="1" applyFill="1" applyBorder="1" applyAlignment="1">
      <alignment horizontal="center" vertical="center"/>
    </xf>
    <xf numFmtId="2" fontId="14" fillId="10" borderId="109" xfId="1" applyNumberFormat="1" applyFont="1" applyFill="1" applyBorder="1" applyAlignment="1">
      <alignment horizontal="center"/>
    </xf>
    <xf numFmtId="164" fontId="2" fillId="10" borderId="109" xfId="1" applyNumberFormat="1" applyFont="1" applyFill="1" applyBorder="1" applyAlignment="1">
      <alignment horizontal="center"/>
    </xf>
    <xf numFmtId="164" fontId="2" fillId="9" borderId="109" xfId="1" applyNumberFormat="1" applyFont="1" applyFill="1" applyBorder="1" applyAlignment="1">
      <alignment horizontal="center"/>
    </xf>
    <xf numFmtId="0" fontId="14" fillId="10" borderId="99" xfId="1" applyFont="1" applyFill="1" applyBorder="1" applyAlignment="1">
      <alignment horizontal="center"/>
    </xf>
    <xf numFmtId="2" fontId="14" fillId="10" borderId="99" xfId="1" applyNumberFormat="1" applyFont="1" applyFill="1" applyBorder="1" applyAlignment="1">
      <alignment horizontal="center" vertical="center"/>
    </xf>
    <xf numFmtId="2" fontId="14" fillId="10" borderId="99" xfId="1" applyNumberFormat="1" applyFont="1" applyFill="1" applyBorder="1" applyAlignment="1">
      <alignment horizontal="center"/>
    </xf>
    <xf numFmtId="164" fontId="2" fillId="10" borderId="99" xfId="1" applyNumberFormat="1" applyFont="1" applyFill="1" applyBorder="1" applyAlignment="1">
      <alignment horizontal="center"/>
    </xf>
    <xf numFmtId="164" fontId="2" fillId="9" borderId="99" xfId="1" applyNumberFormat="1" applyFont="1" applyFill="1" applyBorder="1" applyAlignment="1">
      <alignment horizontal="center"/>
    </xf>
    <xf numFmtId="2" fontId="14" fillId="10" borderId="116" xfId="1" applyNumberFormat="1" applyFont="1" applyFill="1" applyBorder="1" applyAlignment="1">
      <alignment horizontal="center" vertical="center"/>
    </xf>
    <xf numFmtId="2" fontId="14" fillId="10" borderId="116" xfId="1" applyNumberFormat="1" applyFont="1" applyFill="1" applyBorder="1" applyAlignment="1">
      <alignment horizontal="center"/>
    </xf>
    <xf numFmtId="164" fontId="2" fillId="10" borderId="116" xfId="1" applyNumberFormat="1" applyFont="1" applyFill="1" applyBorder="1" applyAlignment="1">
      <alignment horizontal="center"/>
    </xf>
    <xf numFmtId="164" fontId="2" fillId="11" borderId="116" xfId="1" applyNumberFormat="1" applyFont="1" applyFill="1" applyBorder="1" applyAlignment="1">
      <alignment horizontal="center"/>
    </xf>
    <xf numFmtId="164" fontId="12" fillId="0" borderId="113" xfId="1" applyNumberFormat="1" applyFont="1" applyBorder="1" applyAlignment="1">
      <alignment horizontal="center"/>
    </xf>
    <xf numFmtId="164" fontId="12" fillId="0" borderId="113" xfId="1" applyNumberFormat="1" applyFont="1" applyBorder="1" applyAlignment="1">
      <alignment horizontal="center" vertical="center"/>
    </xf>
    <xf numFmtId="166" fontId="12" fillId="0" borderId="113" xfId="1" applyNumberFormat="1" applyFont="1" applyBorder="1" applyAlignment="1">
      <alignment horizontal="center" vertical="center"/>
    </xf>
    <xf numFmtId="2" fontId="21" fillId="0" borderId="0" xfId="1" applyNumberFormat="1" applyFont="1" applyAlignment="1">
      <alignment horizontal="center"/>
    </xf>
    <xf numFmtId="0" fontId="21" fillId="0" borderId="102" xfId="1" applyFont="1" applyBorder="1" applyAlignment="1">
      <alignment horizontal="center" vertical="top"/>
    </xf>
    <xf numFmtId="0" fontId="2" fillId="0" borderId="38" xfId="1" applyFont="1" applyBorder="1" applyAlignment="1">
      <alignment horizontal="center"/>
    </xf>
    <xf numFmtId="164" fontId="17" fillId="5" borderId="118" xfId="1" applyNumberFormat="1" applyFont="1" applyFill="1" applyBorder="1" applyAlignment="1">
      <alignment horizontal="center" vertical="center"/>
    </xf>
    <xf numFmtId="0" fontId="17" fillId="0" borderId="42" xfId="1" applyFont="1" applyBorder="1"/>
    <xf numFmtId="0" fontId="2" fillId="0" borderId="50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0" fillId="0" borderId="31" xfId="0" applyFont="1" applyBorder="1"/>
    <xf numFmtId="0" fontId="16" fillId="0" borderId="85" xfId="0" applyFont="1" applyFill="1" applyBorder="1" applyAlignment="1">
      <alignment horizontal="center" vertical="top"/>
    </xf>
    <xf numFmtId="164" fontId="21" fillId="0" borderId="0" xfId="0" applyNumberFormat="1" applyFont="1" applyFill="1"/>
    <xf numFmtId="0" fontId="0" fillId="0" borderId="38" xfId="0" applyFont="1" applyBorder="1" applyAlignment="1">
      <alignment horizontal="center"/>
    </xf>
    <xf numFmtId="0" fontId="1" fillId="0" borderId="25" xfId="0" applyFont="1" applyFill="1" applyBorder="1" applyAlignment="1">
      <alignment vertical="center"/>
    </xf>
    <xf numFmtId="166" fontId="21" fillId="0" borderId="0" xfId="0" applyNumberFormat="1" applyFont="1" applyFill="1"/>
    <xf numFmtId="164" fontId="2" fillId="9" borderId="116" xfId="0" applyNumberFormat="1" applyFont="1" applyFill="1" applyBorder="1" applyAlignment="1">
      <alignment horizontal="center"/>
    </xf>
    <xf numFmtId="2" fontId="22" fillId="0" borderId="85" xfId="0" applyNumberFormat="1" applyFont="1" applyFill="1" applyBorder="1" applyAlignment="1">
      <alignment horizontal="center" vertical="top"/>
    </xf>
    <xf numFmtId="164" fontId="14" fillId="9" borderId="109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0" borderId="43" xfId="1" applyFont="1" applyBorder="1" applyAlignment="1">
      <alignment horizontal="center" vertical="center" wrapText="1"/>
    </xf>
    <xf numFmtId="0" fontId="14" fillId="0" borderId="43" xfId="1" applyFont="1" applyBorder="1"/>
    <xf numFmtId="0" fontId="14" fillId="0" borderId="44" xfId="1" applyFont="1" applyBorder="1"/>
    <xf numFmtId="0" fontId="21" fillId="0" borderId="50" xfId="1" applyFont="1" applyBorder="1" applyAlignment="1">
      <alignment horizontal="center"/>
    </xf>
    <xf numFmtId="0" fontId="14" fillId="0" borderId="47" xfId="1" applyFont="1" applyBorder="1"/>
    <xf numFmtId="0" fontId="14" fillId="0" borderId="51" xfId="1" applyFont="1" applyBorder="1"/>
    <xf numFmtId="0" fontId="21" fillId="0" borderId="46" xfId="1" applyFont="1" applyBorder="1" applyAlignment="1">
      <alignment horizontal="center"/>
    </xf>
    <xf numFmtId="0" fontId="14" fillId="0" borderId="49" xfId="1" applyFont="1" applyBorder="1"/>
    <xf numFmtId="0" fontId="2" fillId="0" borderId="43" xfId="1" applyFont="1" applyBorder="1" applyAlignment="1">
      <alignment horizontal="center"/>
    </xf>
    <xf numFmtId="0" fontId="17" fillId="6" borderId="39" xfId="1" applyFont="1" applyFill="1" applyBorder="1" applyAlignment="1">
      <alignment horizontal="center"/>
    </xf>
    <xf numFmtId="0" fontId="14" fillId="0" borderId="40" xfId="1" applyFont="1" applyBorder="1"/>
    <xf numFmtId="0" fontId="14" fillId="0" borderId="41" xfId="1" applyFont="1" applyBorder="1"/>
    <xf numFmtId="0" fontId="17" fillId="0" borderId="53" xfId="1" applyFont="1" applyBorder="1" applyAlignment="1">
      <alignment horizontal="center"/>
    </xf>
    <xf numFmtId="0" fontId="14" fillId="0" borderId="56" xfId="1" applyFont="1" applyBorder="1"/>
    <xf numFmtId="0" fontId="14" fillId="0" borderId="54" xfId="1" applyFont="1" applyBorder="1"/>
    <xf numFmtId="0" fontId="17" fillId="0" borderId="77" xfId="1" applyFont="1" applyBorder="1" applyAlignment="1">
      <alignment horizontal="center"/>
    </xf>
    <xf numFmtId="0" fontId="14" fillId="0" borderId="60" xfId="1" applyFont="1" applyBorder="1"/>
    <xf numFmtId="0" fontId="17" fillId="0" borderId="62" xfId="1" applyFont="1" applyBorder="1" applyAlignment="1">
      <alignment horizontal="center"/>
    </xf>
    <xf numFmtId="0" fontId="14" fillId="0" borderId="65" xfId="1" applyFont="1" applyBorder="1"/>
    <xf numFmtId="0" fontId="14" fillId="0" borderId="63" xfId="1" applyFont="1" applyBorder="1"/>
    <xf numFmtId="0" fontId="17" fillId="0" borderId="81" xfId="1" applyFont="1" applyBorder="1" applyAlignment="1">
      <alignment horizontal="center"/>
    </xf>
    <xf numFmtId="0" fontId="14" fillId="0" borderId="89" xfId="1" applyFont="1" applyBorder="1"/>
    <xf numFmtId="0" fontId="17" fillId="0" borderId="124" xfId="1" applyFont="1" applyBorder="1" applyAlignment="1">
      <alignment horizontal="center"/>
    </xf>
    <xf numFmtId="0" fontId="17" fillId="0" borderId="69" xfId="1" applyFont="1" applyBorder="1" applyAlignment="1">
      <alignment horizontal="center"/>
    </xf>
    <xf numFmtId="0" fontId="17" fillId="0" borderId="70" xfId="1" applyFont="1" applyBorder="1" applyAlignment="1">
      <alignment horizontal="center"/>
    </xf>
    <xf numFmtId="0" fontId="17" fillId="0" borderId="90" xfId="1" applyFont="1" applyBorder="1" applyAlignment="1">
      <alignment horizontal="center"/>
    </xf>
    <xf numFmtId="0" fontId="17" fillId="0" borderId="0" xfId="1" applyFont="1" applyBorder="1" applyAlignment="1">
      <alignment horizontal="center"/>
    </xf>
    <xf numFmtId="0" fontId="17" fillId="0" borderId="91" xfId="1" applyFont="1" applyBorder="1" applyAlignment="1">
      <alignment horizontal="center"/>
    </xf>
    <xf numFmtId="0" fontId="17" fillId="0" borderId="42" xfId="1" applyFont="1" applyBorder="1" applyAlignment="1">
      <alignment horizontal="center"/>
    </xf>
    <xf numFmtId="0" fontId="17" fillId="0" borderId="43" xfId="1" applyFont="1" applyBorder="1" applyAlignment="1">
      <alignment horizontal="center"/>
    </xf>
    <xf numFmtId="0" fontId="17" fillId="0" borderId="44" xfId="1" applyFont="1" applyBorder="1" applyAlignment="1">
      <alignment horizontal="center"/>
    </xf>
    <xf numFmtId="0" fontId="14" fillId="4" borderId="11" xfId="1" applyFont="1" applyFill="1" applyBorder="1" applyAlignment="1">
      <alignment horizontal="center" wrapText="1"/>
    </xf>
    <xf numFmtId="0" fontId="14" fillId="4" borderId="15" xfId="1" applyFont="1" applyFill="1" applyBorder="1" applyAlignment="1">
      <alignment horizontal="center" wrapText="1"/>
    </xf>
    <xf numFmtId="164" fontId="14" fillId="12" borderId="15" xfId="1" applyNumberFormat="1" applyFont="1" applyFill="1" applyBorder="1" applyAlignment="1">
      <alignment horizontal="center"/>
    </xf>
    <xf numFmtId="164" fontId="14" fillId="12" borderId="12" xfId="1" applyNumberFormat="1" applyFont="1" applyFill="1" applyBorder="1" applyAlignment="1">
      <alignment horizontal="center"/>
    </xf>
    <xf numFmtId="0" fontId="14" fillId="4" borderId="13" xfId="1" applyFont="1" applyFill="1" applyBorder="1" applyAlignment="1">
      <alignment horizontal="center" wrapText="1"/>
    </xf>
    <xf numFmtId="0" fontId="14" fillId="4" borderId="16" xfId="1" applyFont="1" applyFill="1" applyBorder="1" applyAlignment="1">
      <alignment horizontal="center" wrapText="1"/>
    </xf>
    <xf numFmtId="164" fontId="14" fillId="12" borderId="16" xfId="1" applyNumberFormat="1" applyFont="1" applyFill="1" applyBorder="1" applyAlignment="1">
      <alignment horizontal="center"/>
    </xf>
    <xf numFmtId="164" fontId="14" fillId="12" borderId="14" xfId="1" applyNumberFormat="1" applyFont="1" applyFill="1" applyBorder="1" applyAlignment="1">
      <alignment horizontal="center"/>
    </xf>
    <xf numFmtId="0" fontId="2" fillId="0" borderId="124" xfId="1" applyFont="1" applyBorder="1" applyAlignment="1">
      <alignment horizontal="left" vertical="top" wrapText="1"/>
    </xf>
    <xf numFmtId="0" fontId="14" fillId="0" borderId="69" xfId="1" applyFont="1" applyBorder="1"/>
    <xf numFmtId="0" fontId="14" fillId="0" borderId="70" xfId="1" applyFont="1" applyBorder="1"/>
    <xf numFmtId="0" fontId="14" fillId="0" borderId="90" xfId="1" applyFont="1" applyBorder="1"/>
    <xf numFmtId="0" fontId="2" fillId="0" borderId="0" xfId="1" applyFont="1" applyAlignment="1"/>
    <xf numFmtId="0" fontId="14" fillId="0" borderId="91" xfId="1" applyFont="1" applyBorder="1"/>
    <xf numFmtId="0" fontId="14" fillId="0" borderId="83" xfId="1" applyFont="1" applyBorder="1"/>
    <xf numFmtId="0" fontId="14" fillId="0" borderId="125" xfId="1" applyFont="1" applyBorder="1"/>
    <xf numFmtId="0" fontId="14" fillId="0" borderId="86" xfId="1" applyFont="1" applyBorder="1"/>
    <xf numFmtId="0" fontId="2" fillId="0" borderId="104" xfId="1" applyFont="1" applyBorder="1" applyAlignment="1">
      <alignment horizontal="left" wrapText="1"/>
    </xf>
    <xf numFmtId="0" fontId="2" fillId="0" borderId="36" xfId="1" applyFont="1" applyBorder="1" applyAlignment="1">
      <alignment horizontal="left" wrapText="1"/>
    </xf>
    <xf numFmtId="0" fontId="2" fillId="0" borderId="26" xfId="1" applyFont="1" applyFill="1" applyBorder="1" applyAlignment="1">
      <alignment horizontal="left" vertical="center" wrapText="1"/>
    </xf>
    <xf numFmtId="0" fontId="2" fillId="0" borderId="27" xfId="1" applyFont="1" applyFill="1" applyBorder="1" applyAlignment="1">
      <alignment horizontal="left" vertical="center" wrapText="1"/>
    </xf>
    <xf numFmtId="0" fontId="25" fillId="14" borderId="90" xfId="1" applyFont="1" applyFill="1" applyBorder="1" applyAlignment="1">
      <alignment horizontal="left" vertical="top" wrapText="1"/>
    </xf>
    <xf numFmtId="0" fontId="14" fillId="0" borderId="0" xfId="1" applyFont="1" applyBorder="1"/>
    <xf numFmtId="0" fontId="14" fillId="0" borderId="96" xfId="1" applyFont="1" applyBorder="1"/>
    <xf numFmtId="0" fontId="14" fillId="0" borderId="42" xfId="1" applyFont="1" applyBorder="1"/>
    <xf numFmtId="0" fontId="14" fillId="0" borderId="123" xfId="1" applyFont="1" applyBorder="1"/>
    <xf numFmtId="0" fontId="25" fillId="14" borderId="73" xfId="1" applyFont="1" applyFill="1" applyBorder="1" applyAlignment="1">
      <alignment horizontal="center" vertical="center" wrapText="1"/>
    </xf>
    <xf numFmtId="0" fontId="14" fillId="0" borderId="80" xfId="1" applyFont="1" applyBorder="1"/>
    <xf numFmtId="0" fontId="25" fillId="14" borderId="100" xfId="1" applyFont="1" applyFill="1" applyBorder="1" applyAlignment="1">
      <alignment horizontal="center" vertical="top" wrapText="1"/>
    </xf>
    <xf numFmtId="0" fontId="14" fillId="0" borderId="103" xfId="1" applyFont="1" applyBorder="1"/>
    <xf numFmtId="0" fontId="17" fillId="14" borderId="53" xfId="1" applyFont="1" applyFill="1" applyBorder="1" applyAlignment="1">
      <alignment horizontal="center" vertical="top"/>
    </xf>
    <xf numFmtId="0" fontId="14" fillId="10" borderId="108" xfId="1" applyFont="1" applyFill="1" applyBorder="1" applyAlignment="1">
      <alignment horizontal="center" vertical="center"/>
    </xf>
    <xf numFmtId="0" fontId="14" fillId="3" borderId="95" xfId="1" applyFont="1" applyFill="1" applyBorder="1"/>
    <xf numFmtId="0" fontId="14" fillId="3" borderId="115" xfId="1" applyFont="1" applyFill="1" applyBorder="1"/>
    <xf numFmtId="166" fontId="14" fillId="10" borderId="108" xfId="1" applyNumberFormat="1" applyFont="1" applyFill="1" applyBorder="1" applyAlignment="1">
      <alignment horizontal="center" vertical="center"/>
    </xf>
    <xf numFmtId="0" fontId="14" fillId="10" borderId="110" xfId="1" applyFont="1" applyFill="1" applyBorder="1" applyAlignment="1">
      <alignment horizontal="center" vertical="center"/>
    </xf>
    <xf numFmtId="0" fontId="14" fillId="3" borderId="112" xfId="1" applyFont="1" applyFill="1" applyBorder="1"/>
    <xf numFmtId="0" fontId="14" fillId="3" borderId="117" xfId="1" applyFont="1" applyFill="1" applyBorder="1"/>
    <xf numFmtId="2" fontId="14" fillId="9" borderId="97" xfId="1" applyNumberFormat="1" applyFont="1" applyFill="1" applyBorder="1" applyAlignment="1">
      <alignment horizontal="center" vertical="center"/>
    </xf>
    <xf numFmtId="164" fontId="14" fillId="9" borderId="97" xfId="1" applyNumberFormat="1" applyFont="1" applyFill="1" applyBorder="1" applyAlignment="1">
      <alignment horizontal="center" vertical="center"/>
    </xf>
    <xf numFmtId="0" fontId="12" fillId="0" borderId="46" xfId="1" applyFont="1" applyBorder="1" applyAlignment="1">
      <alignment horizontal="left" vertical="center" wrapText="1"/>
    </xf>
    <xf numFmtId="0" fontId="12" fillId="0" borderId="69" xfId="1" applyFont="1" applyBorder="1" applyAlignment="1">
      <alignment horizontal="center" vertical="top" wrapText="1"/>
    </xf>
    <xf numFmtId="0" fontId="12" fillId="0" borderId="78" xfId="1" applyFont="1" applyBorder="1" applyAlignment="1">
      <alignment horizontal="left" vertical="center" wrapText="1"/>
    </xf>
    <xf numFmtId="0" fontId="14" fillId="9" borderId="107" xfId="1" applyFont="1" applyFill="1" applyBorder="1" applyAlignment="1">
      <alignment horizontal="center" vertical="center"/>
    </xf>
    <xf numFmtId="0" fontId="14" fillId="3" borderId="111" xfId="1" applyFont="1" applyFill="1" applyBorder="1"/>
    <xf numFmtId="0" fontId="14" fillId="3" borderId="114" xfId="1" applyFont="1" applyFill="1" applyBorder="1"/>
    <xf numFmtId="2" fontId="14" fillId="9" borderId="108" xfId="1" applyNumberFormat="1" applyFont="1" applyFill="1" applyBorder="1" applyAlignment="1">
      <alignment horizontal="center" vertical="center"/>
    </xf>
    <xf numFmtId="0" fontId="14" fillId="3" borderId="113" xfId="1" applyFont="1" applyFill="1" applyBorder="1"/>
    <xf numFmtId="164" fontId="14" fillId="9" borderId="108" xfId="1" applyNumberFormat="1" applyFont="1" applyFill="1" applyBorder="1" applyAlignment="1">
      <alignment horizontal="center" vertical="center"/>
    </xf>
    <xf numFmtId="164" fontId="14" fillId="10" borderId="108" xfId="1" applyNumberFormat="1" applyFont="1" applyFill="1" applyBorder="1" applyAlignment="1">
      <alignment horizontal="center" vertical="center"/>
    </xf>
    <xf numFmtId="164" fontId="14" fillId="0" borderId="92" xfId="1" applyNumberFormat="1" applyFont="1" applyFill="1" applyBorder="1" applyAlignment="1">
      <alignment horizontal="center" vertical="center"/>
    </xf>
    <xf numFmtId="0" fontId="14" fillId="0" borderId="95" xfId="1" applyFont="1" applyFill="1" applyBorder="1"/>
    <xf numFmtId="0" fontId="14" fillId="0" borderId="101" xfId="1" applyFont="1" applyFill="1" applyBorder="1"/>
    <xf numFmtId="165" fontId="14" fillId="0" borderId="92" xfId="1" applyNumberFormat="1" applyFont="1" applyFill="1" applyBorder="1" applyAlignment="1">
      <alignment horizontal="center" vertical="center"/>
    </xf>
    <xf numFmtId="0" fontId="14" fillId="0" borderId="92" xfId="1" applyFont="1" applyFill="1" applyBorder="1" applyAlignment="1">
      <alignment horizontal="center" vertical="center"/>
    </xf>
    <xf numFmtId="0" fontId="14" fillId="0" borderId="98" xfId="1" applyFont="1" applyFill="1" applyBorder="1" applyAlignment="1">
      <alignment horizontal="center" vertical="center"/>
    </xf>
    <xf numFmtId="0" fontId="14" fillId="0" borderId="100" xfId="1" applyFont="1" applyFill="1" applyBorder="1"/>
    <xf numFmtId="0" fontId="14" fillId="0" borderId="103" xfId="1" applyFont="1" applyFill="1" applyBorder="1"/>
    <xf numFmtId="0" fontId="4" fillId="8" borderId="104" xfId="1" applyFont="1" applyFill="1" applyBorder="1" applyAlignment="1">
      <alignment horizontal="center" vertical="center" textRotation="90"/>
    </xf>
    <xf numFmtId="0" fontId="4" fillId="8" borderId="105" xfId="1" applyFont="1" applyFill="1" applyBorder="1" applyAlignment="1">
      <alignment horizontal="center" vertical="center" textRotation="90"/>
    </xf>
    <xf numFmtId="0" fontId="4" fillId="8" borderId="106" xfId="1" applyFont="1" applyFill="1" applyBorder="1" applyAlignment="1">
      <alignment horizontal="center" vertical="center" textRotation="90"/>
    </xf>
    <xf numFmtId="0" fontId="4" fillId="2" borderId="1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3" xfId="1" applyFont="1" applyFill="1" applyBorder="1" applyAlignment="1">
      <alignment horizontal="center" vertical="top"/>
    </xf>
    <xf numFmtId="0" fontId="4" fillId="2" borderId="4" xfId="1" applyFont="1" applyFill="1" applyBorder="1" applyAlignment="1">
      <alignment horizontal="center" vertical="top"/>
    </xf>
    <xf numFmtId="0" fontId="4" fillId="2" borderId="0" xfId="1" applyFont="1" applyFill="1" applyBorder="1" applyAlignment="1">
      <alignment horizontal="center" vertical="top"/>
    </xf>
    <xf numFmtId="0" fontId="4" fillId="2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top"/>
    </xf>
    <xf numFmtId="0" fontId="2" fillId="0" borderId="76" xfId="1" applyFont="1" applyFill="1" applyBorder="1" applyAlignment="1">
      <alignment horizontal="center" vertical="center"/>
    </xf>
    <xf numFmtId="0" fontId="14" fillId="0" borderId="73" xfId="1" applyFont="1" applyFill="1" applyBorder="1"/>
    <xf numFmtId="0" fontId="14" fillId="0" borderId="80" xfId="1" applyFont="1" applyFill="1" applyBorder="1"/>
    <xf numFmtId="2" fontId="14" fillId="0" borderId="92" xfId="1" applyNumberFormat="1" applyFont="1" applyFill="1" applyBorder="1" applyAlignment="1">
      <alignment horizontal="center" vertical="center"/>
    </xf>
    <xf numFmtId="0" fontId="14" fillId="7" borderId="43" xfId="1" applyFont="1" applyFill="1" applyBorder="1" applyAlignment="1">
      <alignment horizontal="center" vertical="center" wrapText="1"/>
    </xf>
    <xf numFmtId="0" fontId="14" fillId="0" borderId="43" xfId="1" applyFont="1" applyBorder="1" applyAlignment="1">
      <alignment horizontal="center"/>
    </xf>
    <xf numFmtId="0" fontId="14" fillId="7" borderId="43" xfId="1" applyFont="1" applyFill="1" applyBorder="1" applyAlignment="1">
      <alignment horizontal="center"/>
    </xf>
    <xf numFmtId="0" fontId="17" fillId="6" borderId="76" xfId="1" applyFont="1" applyFill="1" applyBorder="1" applyAlignment="1">
      <alignment horizontal="center" vertical="center" wrapText="1"/>
    </xf>
    <xf numFmtId="0" fontId="14" fillId="0" borderId="73" xfId="1" applyFont="1" applyBorder="1"/>
    <xf numFmtId="0" fontId="17" fillId="6" borderId="92" xfId="1" applyFont="1" applyFill="1" applyBorder="1" applyAlignment="1">
      <alignment horizontal="center" vertical="center" wrapText="1"/>
    </xf>
    <xf numFmtId="0" fontId="14" fillId="0" borderId="95" xfId="1" applyFont="1" applyBorder="1"/>
    <xf numFmtId="0" fontId="17" fillId="6" borderId="92" xfId="1" applyFont="1" applyFill="1" applyBorder="1" applyAlignment="1">
      <alignment horizontal="center" vertical="center"/>
    </xf>
    <xf numFmtId="0" fontId="17" fillId="6" borderId="52" xfId="1" applyFont="1" applyFill="1" applyBorder="1" applyAlignment="1">
      <alignment horizontal="center" vertical="center"/>
    </xf>
    <xf numFmtId="0" fontId="14" fillId="0" borderId="78" xfId="1" applyFont="1" applyBorder="1"/>
    <xf numFmtId="0" fontId="17" fillId="6" borderId="93" xfId="1" applyFont="1" applyFill="1" applyBorder="1" applyAlignment="1">
      <alignment horizontal="center" vertical="center" wrapText="1"/>
    </xf>
    <xf numFmtId="0" fontId="17" fillId="6" borderId="39" xfId="1" applyFont="1" applyFill="1" applyBorder="1" applyAlignment="1">
      <alignment horizontal="center" vertical="center" textRotation="90" wrapText="1"/>
    </xf>
    <xf numFmtId="0" fontId="14" fillId="0" borderId="39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horizontal="center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/>
    </xf>
    <xf numFmtId="0" fontId="14" fillId="7" borderId="90" xfId="1" applyFont="1" applyFill="1" applyBorder="1" applyAlignment="1">
      <alignment horizontal="center" vertical="center"/>
    </xf>
    <xf numFmtId="0" fontId="14" fillId="0" borderId="0" xfId="1" applyFont="1" applyBorder="1" applyAlignment="1">
      <alignment horizontal="center"/>
    </xf>
    <xf numFmtId="0" fontId="14" fillId="7" borderId="0" xfId="1" applyFont="1" applyFill="1" applyBorder="1" applyAlignment="1">
      <alignment horizontal="center" vertical="center" wrapText="1"/>
    </xf>
    <xf numFmtId="0" fontId="14" fillId="7" borderId="0" xfId="1" applyFont="1" applyFill="1" applyBorder="1" applyAlignment="1">
      <alignment horizontal="center" vertical="center"/>
    </xf>
    <xf numFmtId="0" fontId="14" fillId="7" borderId="0" xfId="1" applyFont="1" applyFill="1" applyBorder="1" applyAlignment="1">
      <alignment horizontal="center"/>
    </xf>
    <xf numFmtId="0" fontId="14" fillId="7" borderId="42" xfId="1" applyFont="1" applyFill="1" applyBorder="1" applyAlignment="1">
      <alignment horizontal="center" vertical="center" wrapText="1"/>
    </xf>
    <xf numFmtId="0" fontId="2" fillId="0" borderId="83" xfId="1" applyFont="1" applyFill="1" applyBorder="1" applyAlignment="1">
      <alignment horizontal="center" vertical="center" wrapText="1"/>
    </xf>
    <xf numFmtId="0" fontId="14" fillId="0" borderId="86" xfId="1" applyFont="1" applyFill="1" applyBorder="1"/>
    <xf numFmtId="0" fontId="2" fillId="0" borderId="62" xfId="1" applyFont="1" applyFill="1" applyBorder="1" applyAlignment="1">
      <alignment horizontal="center" vertical="center"/>
    </xf>
    <xf numFmtId="0" fontId="14" fillId="0" borderId="63" xfId="1" applyFont="1" applyFill="1" applyBorder="1"/>
    <xf numFmtId="0" fontId="2" fillId="0" borderId="62" xfId="1" applyFont="1" applyFill="1" applyBorder="1" applyAlignment="1">
      <alignment horizontal="center"/>
    </xf>
    <xf numFmtId="0" fontId="2" fillId="0" borderId="62" xfId="1" applyFont="1" applyFill="1" applyBorder="1" applyAlignment="1">
      <alignment horizontal="center" vertical="top"/>
    </xf>
    <xf numFmtId="0" fontId="22" fillId="0" borderId="62" xfId="1" applyFont="1" applyFill="1" applyBorder="1" applyAlignment="1">
      <alignment horizontal="center" vertical="center" wrapText="1"/>
    </xf>
    <xf numFmtId="0" fontId="15" fillId="0" borderId="89" xfId="1" applyFont="1" applyFill="1" applyBorder="1"/>
    <xf numFmtId="0" fontId="2" fillId="0" borderId="81" xfId="1" applyFont="1" applyFill="1" applyBorder="1" applyAlignment="1">
      <alignment horizontal="center" vertical="center"/>
    </xf>
    <xf numFmtId="0" fontId="2" fillId="0" borderId="83" xfId="1" applyFont="1" applyFill="1" applyBorder="1" applyAlignment="1">
      <alignment horizontal="center" vertical="center"/>
    </xf>
    <xf numFmtId="0" fontId="14" fillId="0" borderId="75" xfId="1" applyFont="1" applyFill="1" applyBorder="1"/>
    <xf numFmtId="0" fontId="2" fillId="0" borderId="83" xfId="1" applyFont="1" applyFill="1" applyBorder="1" applyAlignment="1">
      <alignment horizontal="center"/>
    </xf>
    <xf numFmtId="0" fontId="2" fillId="0" borderId="53" xfId="1" applyFont="1" applyFill="1" applyBorder="1" applyAlignment="1">
      <alignment horizontal="center" vertical="top"/>
    </xf>
    <xf numFmtId="0" fontId="14" fillId="0" borderId="54" xfId="1" applyFont="1" applyFill="1" applyBorder="1"/>
    <xf numFmtId="0" fontId="22" fillId="0" borderId="65" xfId="1" applyFont="1" applyFill="1" applyBorder="1" applyAlignment="1">
      <alignment horizontal="center"/>
    </xf>
    <xf numFmtId="0" fontId="15" fillId="0" borderId="65" xfId="1" applyFont="1" applyFill="1" applyBorder="1"/>
    <xf numFmtId="0" fontId="23" fillId="0" borderId="66" xfId="1" applyFont="1" applyFill="1" applyBorder="1" applyAlignment="1">
      <alignment horizontal="center"/>
    </xf>
    <xf numFmtId="0" fontId="15" fillId="0" borderId="67" xfId="1" applyFont="1" applyFill="1" applyBorder="1"/>
    <xf numFmtId="0" fontId="15" fillId="0" borderId="68" xfId="1" applyFont="1" applyFill="1" applyBorder="1"/>
    <xf numFmtId="0" fontId="23" fillId="0" borderId="69" xfId="1" applyFont="1" applyFill="1" applyBorder="1" applyAlignment="1">
      <alignment horizontal="center"/>
    </xf>
    <xf numFmtId="0" fontId="15" fillId="0" borderId="70" xfId="1" applyFont="1" applyFill="1" applyBorder="1"/>
    <xf numFmtId="0" fontId="17" fillId="6" borderId="72" xfId="1" applyFont="1" applyFill="1" applyBorder="1" applyAlignment="1">
      <alignment horizontal="center" vertical="center" wrapText="1"/>
    </xf>
    <xf numFmtId="0" fontId="14" fillId="0" borderId="79" xfId="1" applyFont="1" applyBorder="1"/>
    <xf numFmtId="0" fontId="14" fillId="0" borderId="87" xfId="1" applyFont="1" applyBorder="1"/>
    <xf numFmtId="0" fontId="24" fillId="0" borderId="73" xfId="1" applyFont="1" applyFill="1" applyBorder="1" applyAlignment="1">
      <alignment horizontal="center" vertical="center" wrapText="1"/>
    </xf>
    <xf numFmtId="0" fontId="2" fillId="0" borderId="74" xfId="1" applyFont="1" applyFill="1" applyBorder="1" applyAlignment="1">
      <alignment horizontal="center" vertical="center"/>
    </xf>
    <xf numFmtId="0" fontId="24" fillId="0" borderId="76" xfId="1" applyFont="1" applyFill="1" applyBorder="1" applyAlignment="1">
      <alignment horizontal="center" vertical="center" wrapText="1"/>
    </xf>
    <xf numFmtId="0" fontId="2" fillId="0" borderId="77" xfId="1" applyFont="1" applyFill="1" applyBorder="1" applyAlignment="1">
      <alignment horizontal="center" vertical="center"/>
    </xf>
    <xf numFmtId="0" fontId="22" fillId="0" borderId="78" xfId="1" applyFont="1" applyFill="1" applyBorder="1" applyAlignment="1">
      <alignment horizontal="center" vertical="center"/>
    </xf>
    <xf numFmtId="0" fontId="15" fillId="0" borderId="0" xfId="1" applyFont="1" applyFill="1" applyBorder="1"/>
    <xf numFmtId="0" fontId="15" fillId="0" borderId="40" xfId="1" applyFont="1" applyFill="1" applyBorder="1"/>
    <xf numFmtId="0" fontId="15" fillId="0" borderId="41" xfId="1" applyFont="1" applyFill="1" applyBorder="1"/>
    <xf numFmtId="0" fontId="15" fillId="0" borderId="82" xfId="1" applyFont="1" applyFill="1" applyBorder="1"/>
    <xf numFmtId="0" fontId="15" fillId="0" borderId="43" xfId="1" applyFont="1" applyFill="1" applyBorder="1"/>
    <xf numFmtId="0" fontId="15" fillId="0" borderId="44" xfId="1" applyFont="1" applyFill="1" applyBorder="1"/>
    <xf numFmtId="0" fontId="2" fillId="0" borderId="50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vertical="center"/>
    </xf>
    <xf numFmtId="0" fontId="22" fillId="0" borderId="52" xfId="1" applyFont="1" applyFill="1" applyBorder="1" applyAlignment="1">
      <alignment horizontal="center" vertical="center"/>
    </xf>
    <xf numFmtId="0" fontId="15" fillId="0" borderId="40" xfId="1" applyFont="1" applyFill="1" applyBorder="1" applyAlignment="1">
      <alignment vertical="center"/>
    </xf>
    <xf numFmtId="0" fontId="15" fillId="0" borderId="41" xfId="1" applyFont="1" applyFill="1" applyBorder="1" applyAlignment="1">
      <alignment vertical="center"/>
    </xf>
    <xf numFmtId="0" fontId="17" fillId="6" borderId="39" xfId="1" applyFont="1" applyFill="1" applyBorder="1" applyAlignment="1">
      <alignment horizontal="center" vertical="center" wrapText="1"/>
    </xf>
    <xf numFmtId="0" fontId="2" fillId="0" borderId="53" xfId="1" applyFont="1" applyFill="1" applyBorder="1" applyAlignment="1">
      <alignment horizontal="center"/>
    </xf>
    <xf numFmtId="0" fontId="2" fillId="0" borderId="56" xfId="1" applyFont="1" applyFill="1" applyBorder="1" applyAlignment="1">
      <alignment horizontal="center" vertical="center"/>
    </xf>
    <xf numFmtId="0" fontId="14" fillId="0" borderId="56" xfId="1" applyFont="1" applyFill="1" applyBorder="1"/>
    <xf numFmtId="0" fontId="2" fillId="0" borderId="57" xfId="1" applyFont="1" applyFill="1" applyBorder="1" applyAlignment="1">
      <alignment horizontal="center" vertical="center" wrapText="1"/>
    </xf>
    <xf numFmtId="0" fontId="14" fillId="0" borderId="58" xfId="1" applyFont="1" applyFill="1" applyBorder="1"/>
    <xf numFmtId="0" fontId="14" fillId="0" borderId="59" xfId="1" applyFont="1" applyFill="1" applyBorder="1"/>
    <xf numFmtId="0" fontId="2" fillId="0" borderId="56" xfId="1" applyFont="1" applyFill="1" applyBorder="1" applyAlignment="1">
      <alignment horizontal="center" vertical="center" wrapText="1"/>
    </xf>
    <xf numFmtId="0" fontId="14" fillId="0" borderId="60" xfId="1" applyFont="1" applyFill="1" applyBorder="1"/>
    <xf numFmtId="0" fontId="13" fillId="0" borderId="40" xfId="1" applyFont="1" applyBorder="1" applyAlignment="1">
      <alignment horizontal="center" wrapText="1"/>
    </xf>
    <xf numFmtId="14" fontId="22" fillId="0" borderId="46" xfId="1" applyNumberFormat="1" applyFont="1" applyFill="1" applyBorder="1" applyAlignment="1">
      <alignment horizontal="center" vertical="center"/>
    </xf>
    <xf numFmtId="0" fontId="15" fillId="0" borderId="47" xfId="1" applyFont="1" applyFill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7" fillId="0" borderId="124" xfId="0" applyFont="1" applyBorder="1" applyAlignment="1">
      <alignment horizontal="center"/>
    </xf>
    <xf numFmtId="0" fontId="17" fillId="0" borderId="69" xfId="0" applyFont="1" applyBorder="1" applyAlignment="1">
      <alignment horizontal="center"/>
    </xf>
    <xf numFmtId="0" fontId="17" fillId="0" borderId="70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0" fillId="0" borderId="124" xfId="0" applyFont="1" applyBorder="1" applyAlignment="1">
      <alignment horizontal="left" vertical="top" wrapText="1"/>
    </xf>
    <xf numFmtId="0" fontId="14" fillId="0" borderId="69" xfId="0" applyFont="1" applyBorder="1"/>
    <xf numFmtId="0" fontId="14" fillId="0" borderId="70" xfId="0" applyFont="1" applyBorder="1"/>
    <xf numFmtId="0" fontId="14" fillId="0" borderId="90" xfId="0" applyFont="1" applyBorder="1"/>
    <xf numFmtId="0" fontId="0" fillId="0" borderId="0" xfId="0" applyFont="1" applyAlignment="1"/>
    <xf numFmtId="0" fontId="14" fillId="0" borderId="91" xfId="0" applyFont="1" applyBorder="1"/>
    <xf numFmtId="0" fontId="14" fillId="0" borderId="83" xfId="0" applyFont="1" applyBorder="1"/>
    <xf numFmtId="0" fontId="14" fillId="0" borderId="125" xfId="0" applyFont="1" applyBorder="1"/>
    <xf numFmtId="0" fontId="14" fillId="0" borderId="86" xfId="0" applyFont="1" applyBorder="1"/>
    <xf numFmtId="0" fontId="0" fillId="0" borderId="104" xfId="0" applyFont="1" applyBorder="1" applyAlignment="1">
      <alignment horizontal="left" wrapText="1"/>
    </xf>
    <xf numFmtId="0" fontId="0" fillId="0" borderId="36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6" fillId="3" borderId="34" xfId="0" applyFont="1" applyFill="1" applyBorder="1" applyAlignment="1">
      <alignment horizontal="left" vertical="top" wrapText="1"/>
    </xf>
    <xf numFmtId="0" fontId="6" fillId="3" borderId="35" xfId="0" applyFont="1" applyFill="1" applyBorder="1" applyAlignment="1">
      <alignment horizontal="left" vertical="top" wrapText="1"/>
    </xf>
    <xf numFmtId="0" fontId="6" fillId="3" borderId="13" xfId="0" applyFont="1" applyFill="1" applyBorder="1" applyAlignment="1">
      <alignment horizontal="left" vertical="top" wrapText="1"/>
    </xf>
    <xf numFmtId="0" fontId="6" fillId="3" borderId="16" xfId="0" applyFont="1" applyFill="1" applyBorder="1" applyAlignment="1">
      <alignment horizontal="left" vertical="top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7" fillId="0" borderId="53" xfId="0" applyFont="1" applyBorder="1" applyAlignment="1">
      <alignment horizontal="center"/>
    </xf>
    <xf numFmtId="0" fontId="14" fillId="0" borderId="56" xfId="0" applyFont="1" applyBorder="1"/>
    <xf numFmtId="0" fontId="14" fillId="0" borderId="54" xfId="0" applyFont="1" applyBorder="1"/>
    <xf numFmtId="0" fontId="17" fillId="14" borderId="53" xfId="0" applyFont="1" applyFill="1" applyBorder="1" applyAlignment="1">
      <alignment horizontal="center" vertical="top"/>
    </xf>
    <xf numFmtId="0" fontId="14" fillId="0" borderId="60" xfId="0" applyFont="1" applyBorder="1"/>
    <xf numFmtId="0" fontId="14" fillId="10" borderId="108" xfId="0" applyFont="1" applyFill="1" applyBorder="1" applyAlignment="1">
      <alignment horizontal="center" vertical="center"/>
    </xf>
    <xf numFmtId="0" fontId="14" fillId="3" borderId="95" xfId="0" applyFont="1" applyFill="1" applyBorder="1"/>
    <xf numFmtId="0" fontId="14" fillId="3" borderId="115" xfId="0" applyFont="1" applyFill="1" applyBorder="1"/>
    <xf numFmtId="166" fontId="14" fillId="10" borderId="108" xfId="0" applyNumberFormat="1" applyFont="1" applyFill="1" applyBorder="1" applyAlignment="1">
      <alignment horizontal="center" vertical="center"/>
    </xf>
    <xf numFmtId="0" fontId="14" fillId="10" borderId="110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17" xfId="0" applyFont="1" applyFill="1" applyBorder="1"/>
    <xf numFmtId="2" fontId="14" fillId="9" borderId="97" xfId="0" applyNumberFormat="1" applyFont="1" applyFill="1" applyBorder="1" applyAlignment="1">
      <alignment horizontal="center" vertical="center"/>
    </xf>
    <xf numFmtId="164" fontId="14" fillId="9" borderId="97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7" xfId="0" applyFont="1" applyFill="1" applyBorder="1" applyAlignment="1">
      <alignment horizontal="center" vertical="center"/>
    </xf>
    <xf numFmtId="0" fontId="14" fillId="3" borderId="111" xfId="0" applyFont="1" applyFill="1" applyBorder="1"/>
    <xf numFmtId="0" fontId="14" fillId="3" borderId="114" xfId="0" applyFont="1" applyFill="1" applyBorder="1"/>
    <xf numFmtId="2" fontId="14" fillId="9" borderId="108" xfId="0" applyNumberFormat="1" applyFont="1" applyFill="1" applyBorder="1" applyAlignment="1">
      <alignment horizontal="center" vertical="center"/>
    </xf>
    <xf numFmtId="0" fontId="14" fillId="3" borderId="113" xfId="0" applyFont="1" applyFill="1" applyBorder="1"/>
    <xf numFmtId="164" fontId="14" fillId="9" borderId="108" xfId="0" applyNumberFormat="1" applyFont="1" applyFill="1" applyBorder="1" applyAlignment="1">
      <alignment horizontal="center" vertical="center"/>
    </xf>
    <xf numFmtId="164" fontId="14" fillId="10" borderId="108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0" fontId="14" fillId="0" borderId="95" xfId="0" applyFont="1" applyFill="1" applyBorder="1"/>
    <xf numFmtId="0" fontId="14" fillId="0" borderId="101" xfId="0" applyFont="1" applyFill="1" applyBorder="1"/>
    <xf numFmtId="165" fontId="14" fillId="0" borderId="92" xfId="0" applyNumberFormat="1" applyFont="1" applyFill="1" applyBorder="1" applyAlignment="1">
      <alignment horizontal="center" vertical="center"/>
    </xf>
    <xf numFmtId="0" fontId="14" fillId="0" borderId="92" xfId="0" applyFont="1" applyFill="1" applyBorder="1" applyAlignment="1">
      <alignment horizontal="center" vertical="center"/>
    </xf>
    <xf numFmtId="0" fontId="14" fillId="0" borderId="98" xfId="0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3" xfId="0" applyFont="1" applyFill="1" applyBorder="1"/>
    <xf numFmtId="0" fontId="4" fillId="8" borderId="104" xfId="0" applyFont="1" applyFill="1" applyBorder="1" applyAlignment="1">
      <alignment horizontal="center" vertical="center" textRotation="90"/>
    </xf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6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14" fillId="0" borderId="80" xfId="0" applyFont="1" applyFill="1" applyBorder="1"/>
    <xf numFmtId="2" fontId="14" fillId="0" borderId="92" xfId="0" applyNumberFormat="1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/>
    </xf>
    <xf numFmtId="0" fontId="14" fillId="7" borderId="43" xfId="0" applyFont="1" applyFill="1" applyBorder="1" applyAlignment="1">
      <alignment horizontal="center"/>
    </xf>
    <xf numFmtId="0" fontId="14" fillId="0" borderId="43" xfId="0" applyFont="1" applyBorder="1"/>
    <xf numFmtId="0" fontId="14" fillId="0" borderId="44" xfId="0" applyFont="1" applyBorder="1"/>
    <xf numFmtId="0" fontId="17" fillId="6" borderId="76" xfId="0" applyFont="1" applyFill="1" applyBorder="1" applyAlignment="1">
      <alignment horizontal="center" vertical="center" wrapText="1"/>
    </xf>
    <xf numFmtId="0" fontId="14" fillId="0" borderId="73" xfId="0" applyFont="1" applyBorder="1"/>
    <xf numFmtId="0" fontId="17" fillId="6" borderId="92" xfId="0" applyFont="1" applyFill="1" applyBorder="1" applyAlignment="1">
      <alignment horizontal="center" vertical="center" wrapText="1"/>
    </xf>
    <xf numFmtId="0" fontId="14" fillId="0" borderId="95" xfId="0" applyFont="1" applyBorder="1"/>
    <xf numFmtId="0" fontId="17" fillId="6" borderId="92" xfId="0" applyFont="1" applyFill="1" applyBorder="1" applyAlignment="1">
      <alignment horizontal="center" vertical="center"/>
    </xf>
    <xf numFmtId="0" fontId="17" fillId="6" borderId="52" xfId="0" applyFont="1" applyFill="1" applyBorder="1" applyAlignment="1">
      <alignment horizontal="center" vertical="center"/>
    </xf>
    <xf numFmtId="0" fontId="14" fillId="0" borderId="40" xfId="0" applyFont="1" applyBorder="1"/>
    <xf numFmtId="0" fontId="14" fillId="0" borderId="78" xfId="0" applyFont="1" applyBorder="1"/>
    <xf numFmtId="0" fontId="14" fillId="0" borderId="0" xfId="0" applyFont="1" applyBorder="1"/>
    <xf numFmtId="0" fontId="17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7" fillId="6" borderId="39" xfId="0" applyFont="1" applyFill="1" applyBorder="1" applyAlignment="1">
      <alignment horizontal="center" vertical="center" textRotation="90" wrapText="1"/>
    </xf>
    <xf numFmtId="0" fontId="14" fillId="0" borderId="42" xfId="0" applyFont="1" applyBorder="1"/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7" borderId="9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7" borderId="42" xfId="0" applyFont="1" applyFill="1" applyBorder="1" applyAlignment="1">
      <alignment horizontal="center" vertical="center" wrapText="1"/>
    </xf>
    <xf numFmtId="0" fontId="2" fillId="0" borderId="83" xfId="0" applyFont="1" applyFill="1" applyBorder="1" applyAlignment="1">
      <alignment horizontal="center" vertical="center" wrapText="1"/>
    </xf>
    <xf numFmtId="0" fontId="14" fillId="0" borderId="86" xfId="0" applyFont="1" applyFill="1" applyBorder="1"/>
    <xf numFmtId="0" fontId="2" fillId="0" borderId="62" xfId="0" applyFont="1" applyFill="1" applyBorder="1" applyAlignment="1">
      <alignment horizontal="center" vertical="center"/>
    </xf>
    <xf numFmtId="0" fontId="14" fillId="0" borderId="63" xfId="0" applyFont="1" applyFill="1" applyBorder="1"/>
    <xf numFmtId="0" fontId="2" fillId="0" borderId="62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 vertical="top"/>
    </xf>
    <xf numFmtId="0" fontId="22" fillId="0" borderId="62" xfId="0" applyFont="1" applyFill="1" applyBorder="1" applyAlignment="1">
      <alignment horizontal="center" vertical="center" wrapText="1"/>
    </xf>
    <xf numFmtId="0" fontId="15" fillId="0" borderId="89" xfId="0" applyFont="1" applyFill="1" applyBorder="1"/>
    <xf numFmtId="0" fontId="2" fillId="0" borderId="81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14" fillId="0" borderId="75" xfId="0" applyFont="1" applyFill="1" applyBorder="1"/>
    <xf numFmtId="0" fontId="2" fillId="0" borderId="83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 vertical="top"/>
    </xf>
    <xf numFmtId="0" fontId="14" fillId="0" borderId="54" xfId="0" applyFont="1" applyFill="1" applyBorder="1"/>
    <xf numFmtId="0" fontId="22" fillId="0" borderId="65" xfId="0" applyFont="1" applyFill="1" applyBorder="1" applyAlignment="1">
      <alignment horizontal="center"/>
    </xf>
    <xf numFmtId="0" fontId="15" fillId="0" borderId="65" xfId="0" applyFont="1" applyFill="1" applyBorder="1"/>
    <xf numFmtId="0" fontId="23" fillId="0" borderId="66" xfId="0" applyFont="1" applyFill="1" applyBorder="1" applyAlignment="1">
      <alignment horizontal="center"/>
    </xf>
    <xf numFmtId="0" fontId="15" fillId="0" borderId="67" xfId="0" applyFont="1" applyFill="1" applyBorder="1"/>
    <xf numFmtId="0" fontId="15" fillId="0" borderId="68" xfId="0" applyFont="1" applyFill="1" applyBorder="1"/>
    <xf numFmtId="0" fontId="23" fillId="0" borderId="69" xfId="0" applyFont="1" applyFill="1" applyBorder="1" applyAlignment="1">
      <alignment horizontal="center"/>
    </xf>
    <xf numFmtId="0" fontId="15" fillId="0" borderId="70" xfId="0" applyFont="1" applyFill="1" applyBorder="1"/>
    <xf numFmtId="0" fontId="17" fillId="6" borderId="72" xfId="0" applyFont="1" applyFill="1" applyBorder="1" applyAlignment="1">
      <alignment horizontal="center" vertical="center" wrapText="1"/>
    </xf>
    <xf numFmtId="0" fontId="14" fillId="0" borderId="79" xfId="0" applyFont="1" applyBorder="1"/>
    <xf numFmtId="0" fontId="14" fillId="0" borderId="87" xfId="0" applyFont="1" applyBorder="1"/>
    <xf numFmtId="0" fontId="24" fillId="0" borderId="73" xfId="0" applyFont="1" applyFill="1" applyBorder="1" applyAlignment="1">
      <alignment horizontal="center" vertical="center" wrapText="1"/>
    </xf>
    <xf numFmtId="0" fontId="2" fillId="0" borderId="74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/>
    </xf>
    <xf numFmtId="0" fontId="22" fillId="0" borderId="78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40" xfId="0" applyFont="1" applyFill="1" applyBorder="1"/>
    <xf numFmtId="0" fontId="15" fillId="0" borderId="41" xfId="0" applyFont="1" applyFill="1" applyBorder="1"/>
    <xf numFmtId="0" fontId="15" fillId="0" borderId="82" xfId="0" applyFont="1" applyFill="1" applyBorder="1"/>
    <xf numFmtId="0" fontId="15" fillId="0" borderId="43" xfId="0" applyFont="1" applyFill="1" applyBorder="1"/>
    <xf numFmtId="0" fontId="15" fillId="0" borderId="44" xfId="0" applyFont="1" applyFill="1" applyBorder="1"/>
    <xf numFmtId="0" fontId="2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vertical="center"/>
    </xf>
    <xf numFmtId="0" fontId="22" fillId="0" borderId="52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vertical="center"/>
    </xf>
    <xf numFmtId="0" fontId="15" fillId="0" borderId="41" xfId="0" applyFont="1" applyFill="1" applyBorder="1" applyAlignment="1">
      <alignment vertical="center"/>
    </xf>
    <xf numFmtId="0" fontId="16" fillId="0" borderId="52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vertical="center"/>
    </xf>
    <xf numFmtId="0" fontId="17" fillId="6" borderId="39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center"/>
    </xf>
    <xf numFmtId="0" fontId="14" fillId="0" borderId="56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4" fillId="0" borderId="59" xfId="0" applyFont="1" applyFill="1" applyBorder="1"/>
    <xf numFmtId="0" fontId="2" fillId="0" borderId="56" xfId="0" applyFont="1" applyFill="1" applyBorder="1" applyAlignment="1">
      <alignment horizontal="center" vertical="center" wrapText="1"/>
    </xf>
    <xf numFmtId="0" fontId="14" fillId="0" borderId="60" xfId="0" applyFont="1" applyFill="1" applyBorder="1"/>
    <xf numFmtId="0" fontId="29" fillId="0" borderId="126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" xfId="0" applyFont="1" applyBorder="1" applyAlignment="1">
      <alignment horizontal="center" wrapText="1"/>
    </xf>
    <xf numFmtId="0" fontId="13" fillId="0" borderId="40" xfId="0" applyFont="1" applyBorder="1" applyAlignment="1">
      <alignment horizontal="center" wrapText="1"/>
    </xf>
    <xf numFmtId="14" fontId="22" fillId="0" borderId="46" xfId="0" applyNumberFormat="1" applyFont="1" applyFill="1" applyBorder="1" applyAlignment="1">
      <alignment horizontal="center" vertical="center"/>
    </xf>
    <xf numFmtId="0" fontId="15" fillId="0" borderId="47" xfId="0" applyFont="1" applyFill="1" applyBorder="1"/>
    <xf numFmtId="0" fontId="22" fillId="0" borderId="46" xfId="0" applyFont="1" applyBorder="1" applyAlignment="1">
      <alignment horizontal="center" vertical="center" wrapText="1"/>
    </xf>
    <xf numFmtId="0" fontId="15" fillId="0" borderId="47" xfId="0" applyFont="1" applyBorder="1"/>
    <xf numFmtId="0" fontId="15" fillId="0" borderId="49" xfId="0" applyFont="1" applyBorder="1"/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119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2" fontId="14" fillId="10" borderId="108" xfId="0" applyNumberFormat="1" applyFont="1" applyFill="1" applyBorder="1" applyAlignment="1">
      <alignment horizontal="center" vertical="center"/>
    </xf>
    <xf numFmtId="2" fontId="14" fillId="3" borderId="95" xfId="0" applyNumberFormat="1" applyFont="1" applyFill="1" applyBorder="1"/>
    <xf numFmtId="2" fontId="14" fillId="3" borderId="115" xfId="0" applyNumberFormat="1" applyFont="1" applyFill="1" applyBorder="1"/>
    <xf numFmtId="164" fontId="14" fillId="0" borderId="95" xfId="0" applyNumberFormat="1" applyFont="1" applyFill="1" applyBorder="1" applyAlignment="1">
      <alignment horizontal="center" vertical="center"/>
    </xf>
    <xf numFmtId="164" fontId="14" fillId="0" borderId="101" xfId="0" applyNumberFormat="1" applyFont="1" applyFill="1" applyBorder="1" applyAlignment="1">
      <alignment horizontal="center" vertical="center"/>
    </xf>
    <xf numFmtId="165" fontId="14" fillId="0" borderId="95" xfId="0" applyNumberFormat="1" applyFont="1" applyFill="1" applyBorder="1" applyAlignment="1">
      <alignment horizontal="center" vertical="center"/>
    </xf>
    <xf numFmtId="165" fontId="14" fillId="0" borderId="101" xfId="0" applyNumberFormat="1" applyFont="1" applyFill="1" applyBorder="1" applyAlignment="1">
      <alignment horizontal="center" vertical="center"/>
    </xf>
    <xf numFmtId="0" fontId="14" fillId="0" borderId="95" xfId="0" applyFont="1" applyFill="1" applyBorder="1" applyAlignment="1">
      <alignment horizontal="center" vertical="center"/>
    </xf>
    <xf numFmtId="0" fontId="14" fillId="0" borderId="101" xfId="0" applyFont="1" applyFill="1" applyBorder="1" applyAlignment="1">
      <alignment horizontal="center" vertical="center"/>
    </xf>
    <xf numFmtId="0" fontId="14" fillId="0" borderId="100" xfId="0" applyFont="1" applyFill="1" applyBorder="1" applyAlignment="1">
      <alignment horizontal="center" vertical="center"/>
    </xf>
    <xf numFmtId="0" fontId="14" fillId="0" borderId="103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horizontal="center" vertical="center"/>
    </xf>
    <xf numFmtId="2" fontId="14" fillId="0" borderId="101" xfId="0" applyNumberFormat="1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horizontal="center" vertical="center"/>
    </xf>
    <xf numFmtId="0" fontId="19" fillId="0" borderId="73" xfId="0" applyFont="1" applyFill="1" applyBorder="1"/>
    <xf numFmtId="0" fontId="19" fillId="0" borderId="80" xfId="0" applyFont="1" applyFill="1" applyBorder="1"/>
    <xf numFmtId="0" fontId="0" fillId="0" borderId="121" xfId="0" applyBorder="1" applyAlignment="1">
      <alignment horizontal="center" vertical="center" wrapText="1"/>
    </xf>
    <xf numFmtId="0" fontId="0" fillId="0" borderId="122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1" xfId="0" applyFont="1" applyBorder="1" applyAlignment="1">
      <alignment horizontal="center"/>
    </xf>
    <xf numFmtId="0" fontId="3" fillId="0" borderId="136" xfId="0" applyFont="1" applyBorder="1" applyAlignment="1">
      <alignment horizontal="center"/>
    </xf>
    <xf numFmtId="0" fontId="3" fillId="0" borderId="127" xfId="0" applyFont="1" applyBorder="1" applyAlignment="1">
      <alignment horizontal="center"/>
    </xf>
    <xf numFmtId="0" fontId="3" fillId="0" borderId="122" xfId="0" applyFont="1" applyBorder="1" applyAlignment="1">
      <alignment horizontal="center"/>
    </xf>
    <xf numFmtId="0" fontId="0" fillId="0" borderId="121" xfId="0" applyBorder="1" applyAlignment="1">
      <alignment horizontal="center"/>
    </xf>
    <xf numFmtId="0" fontId="1" fillId="4" borderId="121" xfId="0" applyFont="1" applyFill="1" applyBorder="1" applyAlignment="1">
      <alignment horizontal="center"/>
    </xf>
    <xf numFmtId="0" fontId="1" fillId="4" borderId="122" xfId="0" applyFont="1" applyFill="1" applyBorder="1" applyAlignment="1">
      <alignment horizontal="center"/>
    </xf>
    <xf numFmtId="0" fontId="1" fillId="0" borderId="133" xfId="0" applyFont="1" applyFill="1" applyBorder="1" applyAlignment="1">
      <alignment horizontal="center"/>
    </xf>
    <xf numFmtId="0" fontId="1" fillId="0" borderId="134" xfId="0" applyFont="1" applyFill="1" applyBorder="1" applyAlignment="1">
      <alignment horizontal="center"/>
    </xf>
    <xf numFmtId="0" fontId="1" fillId="0" borderId="135" xfId="0" applyFont="1" applyFill="1" applyBorder="1" applyAlignment="1">
      <alignment horizontal="center"/>
    </xf>
    <xf numFmtId="0" fontId="6" fillId="3" borderId="126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130" xfId="0" applyFont="1" applyFill="1" applyBorder="1" applyAlignment="1">
      <alignment horizontal="left" vertical="top" wrapText="1"/>
    </xf>
    <xf numFmtId="0" fontId="6" fillId="3" borderId="25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132" xfId="0" applyFont="1" applyFill="1" applyBorder="1" applyAlignment="1">
      <alignment horizontal="left" vertical="top" wrapText="1"/>
    </xf>
    <xf numFmtId="0" fontId="6" fillId="3" borderId="104" xfId="0" applyFont="1" applyFill="1" applyBorder="1" applyAlignment="1">
      <alignment horizontal="center" vertical="center" wrapText="1"/>
    </xf>
    <xf numFmtId="0" fontId="6" fillId="3" borderId="106" xfId="0" applyFont="1" applyFill="1" applyBorder="1" applyAlignment="1">
      <alignment horizontal="center" vertical="center" wrapText="1"/>
    </xf>
    <xf numFmtId="0" fontId="6" fillId="3" borderId="131" xfId="0" applyFont="1" applyFill="1" applyBorder="1" applyAlignment="1">
      <alignment horizontal="center" vertical="top" wrapText="1"/>
    </xf>
    <xf numFmtId="0" fontId="5" fillId="0" borderId="127" xfId="0" applyFont="1" applyBorder="1" applyAlignment="1">
      <alignment horizontal="left" vertical="center" wrapText="1"/>
    </xf>
    <xf numFmtId="0" fontId="5" fillId="0" borderId="121" xfId="0" applyFont="1" applyBorder="1" applyAlignment="1">
      <alignment horizontal="left" vertical="center" wrapText="1"/>
    </xf>
    <xf numFmtId="0" fontId="5" fillId="0" borderId="122" xfId="0" applyFont="1" applyBorder="1" applyAlignment="1">
      <alignment horizontal="left" vertical="center" wrapText="1"/>
    </xf>
    <xf numFmtId="0" fontId="5" fillId="0" borderId="128" xfId="0" applyFont="1" applyBorder="1" applyAlignment="1">
      <alignment horizontal="center" vertical="top" wrapText="1"/>
    </xf>
    <xf numFmtId="0" fontId="5" fillId="0" borderId="129" xfId="0" applyFont="1" applyBorder="1" applyAlignment="1">
      <alignment horizontal="center" vertical="top" wrapText="1"/>
    </xf>
    <xf numFmtId="0" fontId="0" fillId="0" borderId="12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30" fillId="0" borderId="126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30" fillId="0" borderId="25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7" Type="http://schemas.openxmlformats.org/officeDocument/2006/relationships/image" Target="../media/image8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7.png"/><Relationship Id="rId5" Type="http://schemas.openxmlformats.org/officeDocument/2006/relationships/image" Target="../media/image12.jpeg"/><Relationship Id="rId4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8.pn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7.pn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7" Type="http://schemas.openxmlformats.org/officeDocument/2006/relationships/image" Target="../media/image8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7.png"/><Relationship Id="rId5" Type="http://schemas.openxmlformats.org/officeDocument/2006/relationships/image" Target="../media/image20.jpeg"/><Relationship Id="rId4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18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9</xdr:col>
      <xdr:colOff>0</xdr:colOff>
      <xdr:row>32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3888441"/>
          <a:ext cx="5334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14</xdr:row>
      <xdr:rowOff>57150</xdr:rowOff>
    </xdr:from>
    <xdr:to>
      <xdr:col>9</xdr:col>
      <xdr:colOff>200025</xdr:colOff>
      <xdr:row>14</xdr:row>
      <xdr:rowOff>238125</xdr:rowOff>
    </xdr:to>
    <xdr:sp macro="" textlink="">
      <xdr:nvSpPr>
        <xdr:cNvPr id="2" name="Shape 6"/>
        <xdr:cNvSpPr txBox="1"/>
      </xdr:nvSpPr>
      <xdr:spPr>
        <a:xfrm>
          <a:off x="5667375" y="3848100"/>
          <a:ext cx="1809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</a:t>
          </a:r>
          <a:r>
            <a:rPr lang="en-US" sz="1100" b="1" i="0" u="none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𝐕𝐢</a:t>
          </a:r>
          <a:endParaRPr sz="1100" b="1" i="0" u="none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7</xdr:col>
      <xdr:colOff>104775</xdr:colOff>
      <xdr:row>94</xdr:row>
      <xdr:rowOff>0</xdr:rowOff>
    </xdr:from>
    <xdr:to>
      <xdr:col>7</xdr:col>
      <xdr:colOff>266700</xdr:colOff>
      <xdr:row>94</xdr:row>
      <xdr:rowOff>180975</xdr:rowOff>
    </xdr:to>
    <xdr:sp macro="" textlink="">
      <xdr:nvSpPr>
        <xdr:cNvPr id="3" name="Shape 15"/>
        <xdr:cNvSpPr txBox="1"/>
      </xdr:nvSpPr>
      <xdr:spPr>
        <a:xfrm>
          <a:off x="4324350" y="17926050"/>
          <a:ext cx="1619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0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10</xdr:col>
      <xdr:colOff>295275</xdr:colOff>
      <xdr:row>15</xdr:row>
      <xdr:rowOff>0</xdr:rowOff>
    </xdr:from>
    <xdr:to>
      <xdr:col>10</xdr:col>
      <xdr:colOff>457200</xdr:colOff>
      <xdr:row>15</xdr:row>
      <xdr:rowOff>200025</xdr:rowOff>
    </xdr:to>
    <xdr:sp macro="" textlink="">
      <xdr:nvSpPr>
        <xdr:cNvPr id="4" name="Shape 17"/>
        <xdr:cNvSpPr txBox="1"/>
      </xdr:nvSpPr>
      <xdr:spPr>
        <a:xfrm>
          <a:off x="6657975" y="4067175"/>
          <a:ext cx="1619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1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</xdr:col>
      <xdr:colOff>142875</xdr:colOff>
      <xdr:row>111</xdr:row>
      <xdr:rowOff>12322</xdr:rowOff>
    </xdr:from>
    <xdr:to>
      <xdr:col>5</xdr:col>
      <xdr:colOff>400050</xdr:colOff>
      <xdr:row>115</xdr:row>
      <xdr:rowOff>87402</xdr:rowOff>
    </xdr:to>
    <xdr:pic>
      <xdr:nvPicPr>
        <xdr:cNvPr id="6" name="image16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21357847"/>
          <a:ext cx="3038475" cy="1818155"/>
        </a:xfrm>
        <a:prstGeom prst="rect">
          <a:avLst/>
        </a:prstGeom>
        <a:noFill/>
      </xdr:spPr>
    </xdr:pic>
    <xdr:clientData fLocksWithSheet="0"/>
  </xdr:twoCellAnchor>
  <xdr:twoCellAnchor>
    <xdr:from>
      <xdr:col>6</xdr:col>
      <xdr:colOff>295275</xdr:colOff>
      <xdr:row>111</xdr:row>
      <xdr:rowOff>57144</xdr:rowOff>
    </xdr:from>
    <xdr:to>
      <xdr:col>10</xdr:col>
      <xdr:colOff>438150</xdr:colOff>
      <xdr:row>115</xdr:row>
      <xdr:rowOff>132224</xdr:rowOff>
    </xdr:to>
    <xdr:pic>
      <xdr:nvPicPr>
        <xdr:cNvPr id="7" name="image14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00475" y="21402669"/>
          <a:ext cx="3000375" cy="181815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119</xdr:row>
      <xdr:rowOff>142875</xdr:rowOff>
    </xdr:from>
    <xdr:to>
      <xdr:col>6</xdr:col>
      <xdr:colOff>95250</xdr:colOff>
      <xdr:row>119</xdr:row>
      <xdr:rowOff>1895475</xdr:rowOff>
    </xdr:to>
    <xdr:pic>
      <xdr:nvPicPr>
        <xdr:cNvPr id="8" name="image15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8200" y="24107775"/>
          <a:ext cx="2762250" cy="17526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514350</xdr:colOff>
      <xdr:row>119</xdr:row>
      <xdr:rowOff>123825</xdr:rowOff>
    </xdr:from>
    <xdr:to>
      <xdr:col>13</xdr:col>
      <xdr:colOff>638175</xdr:colOff>
      <xdr:row>119</xdr:row>
      <xdr:rowOff>1866900</xdr:rowOff>
    </xdr:to>
    <xdr:pic>
      <xdr:nvPicPr>
        <xdr:cNvPr id="9" name="image17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62675" y="24088725"/>
          <a:ext cx="2981325" cy="1743075"/>
        </a:xfrm>
        <a:prstGeom prst="rect">
          <a:avLst/>
        </a:prstGeom>
        <a:noFill/>
      </xdr:spPr>
    </xdr:pic>
    <xdr:clientData fLocksWithSheet="0"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280645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257175</xdr:rowOff>
    </xdr:to>
    <xdr:pic>
      <xdr:nvPicPr>
        <xdr:cNvPr id="2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94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936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239607</xdr:colOff>
      <xdr:row>110</xdr:row>
      <xdr:rowOff>177800</xdr:rowOff>
    </xdr:from>
    <xdr:to>
      <xdr:col>5</xdr:col>
      <xdr:colOff>499503</xdr:colOff>
      <xdr:row>115</xdr:row>
      <xdr:rowOff>82114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49132" y="21294725"/>
          <a:ext cx="3041196" cy="183788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227753</xdr:colOff>
      <xdr:row>110</xdr:row>
      <xdr:rowOff>154940</xdr:rowOff>
    </xdr:from>
    <xdr:to>
      <xdr:col>10</xdr:col>
      <xdr:colOff>377338</xdr:colOff>
      <xdr:row>115</xdr:row>
      <xdr:rowOff>59254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32953" y="21271865"/>
          <a:ext cx="3007085" cy="183788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398325</xdr:colOff>
      <xdr:row>119</xdr:row>
      <xdr:rowOff>47625</xdr:rowOff>
    </xdr:from>
    <xdr:to>
      <xdr:col>9</xdr:col>
      <xdr:colOff>409575</xdr:colOff>
      <xdr:row>119</xdr:row>
      <xdr:rowOff>1967625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77900" y="24214425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443550</xdr:colOff>
      <xdr:row>119</xdr:row>
      <xdr:rowOff>35700</xdr:rowOff>
    </xdr:from>
    <xdr:to>
      <xdr:col>4</xdr:col>
      <xdr:colOff>454800</xdr:colOff>
      <xdr:row>119</xdr:row>
      <xdr:rowOff>1955700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51250" y="24202500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498300</xdr:colOff>
      <xdr:row>119</xdr:row>
      <xdr:rowOff>52350</xdr:rowOff>
    </xdr:from>
    <xdr:to>
      <xdr:col>14</xdr:col>
      <xdr:colOff>509550</xdr:colOff>
      <xdr:row>119</xdr:row>
      <xdr:rowOff>1972350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049750" y="24219150"/>
          <a:ext cx="1920000" cy="144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280645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257175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1365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247227</xdr:colOff>
      <xdr:row>131</xdr:row>
      <xdr:rowOff>17780</xdr:rowOff>
    </xdr:from>
    <xdr:to>
      <xdr:col>5</xdr:col>
      <xdr:colOff>507123</xdr:colOff>
      <xdr:row>135</xdr:row>
      <xdr:rowOff>104974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6752" y="24754205"/>
          <a:ext cx="3041196" cy="18302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273473</xdr:colOff>
      <xdr:row>130</xdr:row>
      <xdr:rowOff>177800</xdr:rowOff>
    </xdr:from>
    <xdr:to>
      <xdr:col>10</xdr:col>
      <xdr:colOff>423058</xdr:colOff>
      <xdr:row>135</xdr:row>
      <xdr:rowOff>82114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78673" y="24723725"/>
          <a:ext cx="3007085" cy="183788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514350</xdr:colOff>
      <xdr:row>139</xdr:row>
      <xdr:rowOff>85725</xdr:rowOff>
    </xdr:from>
    <xdr:to>
      <xdr:col>5</xdr:col>
      <xdr:colOff>56850</xdr:colOff>
      <xdr:row>139</xdr:row>
      <xdr:rowOff>1885725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3875" y="27441525"/>
          <a:ext cx="2323800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338775</xdr:colOff>
      <xdr:row>139</xdr:row>
      <xdr:rowOff>54750</xdr:rowOff>
    </xdr:from>
    <xdr:to>
      <xdr:col>14</xdr:col>
      <xdr:colOff>311925</xdr:colOff>
      <xdr:row>139</xdr:row>
      <xdr:rowOff>1974750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7871175" y="27669600"/>
          <a:ext cx="1920000" cy="1401900"/>
        </a:xfrm>
        <a:prstGeom prst="rect">
          <a:avLst/>
        </a:prstGeom>
      </xdr:spPr>
    </xdr:pic>
    <xdr:clientData/>
  </xdr:twoCellAnchor>
  <xdr:twoCellAnchor editAs="oneCell">
    <xdr:from>
      <xdr:col>7</xdr:col>
      <xdr:colOff>42825</xdr:colOff>
      <xdr:row>139</xdr:row>
      <xdr:rowOff>119025</xdr:rowOff>
    </xdr:from>
    <xdr:to>
      <xdr:col>10</xdr:col>
      <xdr:colOff>242550</xdr:colOff>
      <xdr:row>139</xdr:row>
      <xdr:rowOff>1919025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62400" y="27474825"/>
          <a:ext cx="234285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oneCellAnchor>
    <xdr:from>
      <xdr:col>14</xdr:col>
      <xdr:colOff>182880</xdr:colOff>
      <xdr:row>111</xdr:row>
      <xdr:rowOff>144780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03080" y="20985480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03080" y="20985480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280645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257175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154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8223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186267</xdr:colOff>
      <xdr:row>171</xdr:row>
      <xdr:rowOff>55880</xdr:rowOff>
    </xdr:from>
    <xdr:to>
      <xdr:col>5</xdr:col>
      <xdr:colOff>446163</xdr:colOff>
      <xdr:row>175</xdr:row>
      <xdr:rowOff>143074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95792" y="31650305"/>
          <a:ext cx="3041196" cy="18302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433493</xdr:colOff>
      <xdr:row>171</xdr:row>
      <xdr:rowOff>40640</xdr:rowOff>
    </xdr:from>
    <xdr:to>
      <xdr:col>10</xdr:col>
      <xdr:colOff>424328</xdr:colOff>
      <xdr:row>175</xdr:row>
      <xdr:rowOff>127834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938693" y="31635065"/>
          <a:ext cx="3010260" cy="18302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148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7272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7272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151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7808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7808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151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7761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7761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151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7832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7832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151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7801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7801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151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7828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7828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148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7240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7240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148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7225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7225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148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7319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7319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476247</xdr:colOff>
      <xdr:row>179</xdr:row>
      <xdr:rowOff>40821</xdr:rowOff>
    </xdr:from>
    <xdr:to>
      <xdr:col>5</xdr:col>
      <xdr:colOff>258533</xdr:colOff>
      <xdr:row>179</xdr:row>
      <xdr:rowOff>1979839</xdr:rowOff>
    </xdr:to>
    <xdr:pic>
      <xdr:nvPicPr>
        <xdr:cNvPr id="17" name="16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2" y="34254621"/>
          <a:ext cx="2563586" cy="1939018"/>
        </a:xfrm>
        <a:prstGeom prst="rect">
          <a:avLst/>
        </a:prstGeom>
      </xdr:spPr>
    </xdr:pic>
    <xdr:clientData/>
  </xdr:twoCellAnchor>
  <xdr:twoCellAnchor editAs="oneCell">
    <xdr:from>
      <xdr:col>6</xdr:col>
      <xdr:colOff>683075</xdr:colOff>
      <xdr:row>179</xdr:row>
      <xdr:rowOff>29935</xdr:rowOff>
    </xdr:from>
    <xdr:to>
      <xdr:col>10</xdr:col>
      <xdr:colOff>234039</xdr:colOff>
      <xdr:row>179</xdr:row>
      <xdr:rowOff>1968953</xdr:rowOff>
    </xdr:to>
    <xdr:pic>
      <xdr:nvPicPr>
        <xdr:cNvPr id="18" name="17 Imagen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8275" y="34243735"/>
          <a:ext cx="2570389" cy="1939018"/>
        </a:xfrm>
        <a:prstGeom prst="rect">
          <a:avLst/>
        </a:prstGeom>
      </xdr:spPr>
    </xdr:pic>
    <xdr:clientData/>
  </xdr:twoCellAnchor>
  <xdr:twoCellAnchor editAs="oneCell">
    <xdr:from>
      <xdr:col>12</xdr:col>
      <xdr:colOff>5439</xdr:colOff>
      <xdr:row>179</xdr:row>
      <xdr:rowOff>59871</xdr:rowOff>
    </xdr:from>
    <xdr:to>
      <xdr:col>15</xdr:col>
      <xdr:colOff>372832</xdr:colOff>
      <xdr:row>179</xdr:row>
      <xdr:rowOff>1998888</xdr:rowOff>
    </xdr:to>
    <xdr:pic>
      <xdr:nvPicPr>
        <xdr:cNvPr id="19" name="18 Imagen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8814" y="34273671"/>
          <a:ext cx="2577193" cy="1939017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280645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257175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topLeftCell="A16" zoomScale="85" zoomScaleNormal="85" workbookViewId="0">
      <selection activeCell="E37" sqref="E37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95" t="s">
        <v>38</v>
      </c>
      <c r="C2" s="195"/>
      <c r="D2" s="195"/>
      <c r="E2" s="195"/>
      <c r="F2" s="195"/>
      <c r="G2" s="195"/>
      <c r="H2" s="195"/>
      <c r="I2" s="195"/>
      <c r="J2" s="195"/>
    </row>
    <row r="3" spans="2:10" ht="6.75" customHeight="1" x14ac:dyDescent="0.25">
      <c r="B3" s="197"/>
      <c r="C3" s="198"/>
      <c r="D3" s="198"/>
      <c r="E3" s="198"/>
      <c r="F3" s="198"/>
      <c r="G3" s="198"/>
      <c r="H3" s="198"/>
      <c r="I3" s="198"/>
      <c r="J3" s="199"/>
    </row>
    <row r="4" spans="2:10" x14ac:dyDescent="0.25">
      <c r="B4" s="200"/>
      <c r="C4" s="196"/>
      <c r="D4" s="196"/>
      <c r="E4" s="196"/>
      <c r="F4" s="196"/>
      <c r="G4" s="196"/>
      <c r="H4" s="196"/>
      <c r="I4" s="196"/>
      <c r="J4" s="202"/>
    </row>
    <row r="5" spans="2:10" x14ac:dyDescent="0.25">
      <c r="B5" s="200"/>
      <c r="C5" s="196"/>
      <c r="D5" s="196"/>
      <c r="E5" s="196"/>
      <c r="F5" s="196"/>
      <c r="G5" s="196"/>
      <c r="H5" s="196"/>
      <c r="I5" s="196"/>
      <c r="J5" s="202"/>
    </row>
    <row r="6" spans="2:10" x14ac:dyDescent="0.25">
      <c r="B6" s="200"/>
      <c r="C6" s="196"/>
      <c r="D6" s="196"/>
      <c r="E6" s="196"/>
      <c r="F6" s="196"/>
      <c r="G6" s="196"/>
      <c r="H6" s="196"/>
      <c r="I6" s="196"/>
      <c r="J6" s="202"/>
    </row>
    <row r="7" spans="2:10" x14ac:dyDescent="0.25">
      <c r="B7" s="200"/>
      <c r="C7" s="196"/>
      <c r="D7" s="196"/>
      <c r="E7" s="196"/>
      <c r="F7" s="196"/>
      <c r="G7" s="196"/>
      <c r="H7" s="196"/>
      <c r="I7" s="196"/>
      <c r="J7" s="202"/>
    </row>
    <row r="8" spans="2:10" x14ac:dyDescent="0.25">
      <c r="B8" s="200"/>
      <c r="C8" s="196"/>
      <c r="D8" s="196"/>
      <c r="E8" s="196"/>
      <c r="F8" s="196"/>
      <c r="G8" s="196"/>
      <c r="H8" s="196"/>
      <c r="I8" s="196"/>
      <c r="J8" s="202"/>
    </row>
    <row r="9" spans="2:10" x14ac:dyDescent="0.25">
      <c r="B9" s="200"/>
      <c r="C9" s="196"/>
      <c r="D9" s="196"/>
      <c r="E9" s="196"/>
      <c r="F9" s="196"/>
      <c r="G9" s="196"/>
      <c r="H9" s="196"/>
      <c r="I9" s="196"/>
      <c r="J9" s="202"/>
    </row>
    <row r="10" spans="2:10" x14ac:dyDescent="0.25">
      <c r="B10" s="200"/>
      <c r="C10" s="196"/>
      <c r="D10" s="196"/>
      <c r="E10" s="196"/>
      <c r="F10" s="196"/>
      <c r="G10" s="196"/>
      <c r="H10" s="196"/>
      <c r="I10" s="196"/>
      <c r="J10" s="202"/>
    </row>
    <row r="11" spans="2:10" x14ac:dyDescent="0.25">
      <c r="B11" s="200"/>
      <c r="C11" s="196"/>
      <c r="D11" s="196"/>
      <c r="E11" s="196"/>
      <c r="F11" s="196"/>
      <c r="G11" s="196"/>
      <c r="H11" s="196"/>
      <c r="I11" s="196"/>
      <c r="J11" s="202"/>
    </row>
    <row r="12" spans="2:10" x14ac:dyDescent="0.25">
      <c r="B12" s="200"/>
      <c r="C12" s="196"/>
      <c r="D12" s="196"/>
      <c r="E12" s="196"/>
      <c r="F12" s="196"/>
      <c r="G12" s="196"/>
      <c r="H12" s="196"/>
      <c r="I12" s="196"/>
      <c r="J12" s="202"/>
    </row>
    <row r="13" spans="2:10" x14ac:dyDescent="0.25">
      <c r="B13" s="200"/>
      <c r="C13" s="196"/>
      <c r="D13" s="196"/>
      <c r="E13" s="196"/>
      <c r="F13" s="196"/>
      <c r="G13" s="196"/>
      <c r="H13" s="196"/>
      <c r="I13" s="196"/>
      <c r="J13" s="202"/>
    </row>
    <row r="14" spans="2:10" x14ac:dyDescent="0.25">
      <c r="B14" s="200"/>
      <c r="C14" s="196"/>
      <c r="D14" s="196"/>
      <c r="E14" s="196"/>
      <c r="F14" s="196"/>
      <c r="G14" s="196"/>
      <c r="H14" s="196"/>
      <c r="I14" s="196"/>
      <c r="J14" s="202"/>
    </row>
    <row r="15" spans="2:10" x14ac:dyDescent="0.25">
      <c r="B15" s="200"/>
      <c r="C15" s="196"/>
      <c r="D15" s="196"/>
      <c r="E15" s="196"/>
      <c r="F15" s="196"/>
      <c r="G15" s="196"/>
      <c r="H15" s="196"/>
      <c r="I15" s="196"/>
      <c r="J15" s="202"/>
    </row>
    <row r="16" spans="2:10" x14ac:dyDescent="0.25">
      <c r="B16" s="200"/>
      <c r="C16" s="196"/>
      <c r="D16" s="196"/>
      <c r="E16" s="196"/>
      <c r="F16" s="196"/>
      <c r="G16" s="196"/>
      <c r="H16" s="196"/>
      <c r="I16" s="196"/>
      <c r="J16" s="202"/>
    </row>
    <row r="17" spans="2:10" x14ac:dyDescent="0.25">
      <c r="B17" s="200"/>
      <c r="C17" s="196"/>
      <c r="D17" s="196"/>
      <c r="E17" s="196"/>
      <c r="F17" s="196"/>
      <c r="G17" s="196"/>
      <c r="H17" s="196"/>
      <c r="I17" s="196"/>
      <c r="J17" s="202"/>
    </row>
    <row r="18" spans="2:10" x14ac:dyDescent="0.25">
      <c r="B18" s="200"/>
      <c r="C18" s="196"/>
      <c r="D18" s="196"/>
      <c r="E18" s="196"/>
      <c r="F18" s="196"/>
      <c r="G18" s="196"/>
      <c r="H18" s="196"/>
      <c r="I18" s="196"/>
      <c r="J18" s="202"/>
    </row>
    <row r="19" spans="2:10" ht="6.75" customHeight="1" x14ac:dyDescent="0.25">
      <c r="B19" s="201"/>
      <c r="C19" s="204"/>
      <c r="D19" s="204"/>
      <c r="E19" s="204"/>
      <c r="F19" s="204"/>
      <c r="G19" s="204"/>
      <c r="H19" s="204"/>
      <c r="I19" s="204"/>
      <c r="J19" s="203"/>
    </row>
    <row r="20" spans="2:10" x14ac:dyDescent="0.25">
      <c r="B20" s="1"/>
      <c r="C20" s="1"/>
      <c r="D20" s="1"/>
      <c r="E20" s="1"/>
      <c r="F20" s="1"/>
      <c r="G20" s="1"/>
      <c r="H20" s="1"/>
      <c r="I20" s="1"/>
    </row>
    <row r="21" spans="2:10" x14ac:dyDescent="0.25">
      <c r="B21" s="195" t="s">
        <v>39</v>
      </c>
      <c r="C21" s="195"/>
      <c r="D21" s="195"/>
      <c r="E21" s="195"/>
      <c r="F21" s="195"/>
      <c r="G21" s="195"/>
      <c r="H21" s="195"/>
      <c r="I21" s="195"/>
      <c r="J21" s="195"/>
    </row>
    <row r="22" spans="2:10" ht="6.75" customHeight="1" x14ac:dyDescent="0.25">
      <c r="B22" s="197"/>
      <c r="C22" s="198"/>
      <c r="D22" s="198"/>
      <c r="E22" s="198"/>
      <c r="F22" s="198"/>
      <c r="G22" s="198"/>
      <c r="H22" s="198"/>
      <c r="I22" s="198"/>
      <c r="J22" s="199"/>
    </row>
    <row r="23" spans="2:10" x14ac:dyDescent="0.25">
      <c r="B23" s="200"/>
      <c r="C23" s="196"/>
      <c r="D23" s="196"/>
      <c r="E23" s="196"/>
      <c r="F23" s="196"/>
      <c r="G23" s="196"/>
      <c r="H23" s="196"/>
      <c r="I23" s="196"/>
      <c r="J23" s="202"/>
    </row>
    <row r="24" spans="2:10" x14ac:dyDescent="0.25">
      <c r="B24" s="200"/>
      <c r="C24" s="196"/>
      <c r="D24" s="196"/>
      <c r="E24" s="196"/>
      <c r="F24" s="196"/>
      <c r="G24" s="196"/>
      <c r="H24" s="196"/>
      <c r="I24" s="196"/>
      <c r="J24" s="202"/>
    </row>
    <row r="25" spans="2:10" x14ac:dyDescent="0.25">
      <c r="B25" s="200"/>
      <c r="C25" s="196"/>
      <c r="D25" s="196"/>
      <c r="E25" s="196"/>
      <c r="F25" s="196"/>
      <c r="G25" s="196"/>
      <c r="H25" s="196"/>
      <c r="I25" s="196"/>
      <c r="J25" s="202"/>
    </row>
    <row r="26" spans="2:10" x14ac:dyDescent="0.25">
      <c r="B26" s="200"/>
      <c r="C26" s="196"/>
      <c r="D26" s="196"/>
      <c r="E26" s="196"/>
      <c r="F26" s="196"/>
      <c r="G26" s="196"/>
      <c r="H26" s="196"/>
      <c r="I26" s="196"/>
      <c r="J26" s="202"/>
    </row>
    <row r="27" spans="2:10" x14ac:dyDescent="0.25">
      <c r="B27" s="200"/>
      <c r="C27" s="196"/>
      <c r="D27" s="196"/>
      <c r="E27" s="196"/>
      <c r="F27" s="196"/>
      <c r="G27" s="196"/>
      <c r="H27" s="196"/>
      <c r="I27" s="196"/>
      <c r="J27" s="202"/>
    </row>
    <row r="28" spans="2:10" x14ac:dyDescent="0.25">
      <c r="B28" s="200"/>
      <c r="C28" s="196"/>
      <c r="D28" s="196"/>
      <c r="E28" s="196"/>
      <c r="F28" s="196"/>
      <c r="G28" s="196"/>
      <c r="H28" s="196"/>
      <c r="I28" s="196"/>
      <c r="J28" s="202"/>
    </row>
    <row r="29" spans="2:10" x14ac:dyDescent="0.25">
      <c r="B29" s="200"/>
      <c r="C29" s="196"/>
      <c r="D29" s="196"/>
      <c r="E29" s="196"/>
      <c r="F29" s="196"/>
      <c r="G29" s="196"/>
      <c r="H29" s="196"/>
      <c r="I29" s="196"/>
      <c r="J29" s="202"/>
    </row>
    <row r="30" spans="2:10" x14ac:dyDescent="0.25">
      <c r="B30" s="200"/>
      <c r="C30" s="196"/>
      <c r="D30" s="196"/>
      <c r="E30" s="196"/>
      <c r="F30" s="196"/>
      <c r="G30" s="196"/>
      <c r="H30" s="196"/>
      <c r="I30" s="196"/>
      <c r="J30" s="202"/>
    </row>
    <row r="31" spans="2:10" x14ac:dyDescent="0.25">
      <c r="B31" s="200"/>
      <c r="C31" s="196"/>
      <c r="D31" s="196"/>
      <c r="E31" s="196"/>
      <c r="F31" s="196"/>
      <c r="G31" s="196"/>
      <c r="H31" s="196"/>
      <c r="I31" s="196"/>
      <c r="J31" s="202"/>
    </row>
    <row r="32" spans="2:10" x14ac:dyDescent="0.25">
      <c r="B32" s="200"/>
      <c r="C32" s="196"/>
      <c r="D32" s="196"/>
      <c r="E32" s="196"/>
      <c r="F32" s="196"/>
      <c r="G32" s="196"/>
      <c r="H32" s="196"/>
      <c r="I32" s="196"/>
      <c r="J32" s="202"/>
    </row>
    <row r="33" spans="2:10" ht="6.75" customHeight="1" x14ac:dyDescent="0.25">
      <c r="B33" s="201"/>
      <c r="C33" s="204"/>
      <c r="D33" s="204"/>
      <c r="E33" s="204"/>
      <c r="F33" s="204"/>
      <c r="G33" s="204"/>
      <c r="H33" s="204"/>
      <c r="I33" s="204"/>
      <c r="J33" s="203"/>
    </row>
  </sheetData>
  <mergeCells count="12">
    <mergeCell ref="B21:J21"/>
    <mergeCell ref="B22:J22"/>
    <mergeCell ref="B23:B33"/>
    <mergeCell ref="C23:I32"/>
    <mergeCell ref="J23:J33"/>
    <mergeCell ref="C33:I33"/>
    <mergeCell ref="B2:J2"/>
    <mergeCell ref="C4:I18"/>
    <mergeCell ref="B3:J3"/>
    <mergeCell ref="B4:B19"/>
    <mergeCell ref="J4:J19"/>
    <mergeCell ref="C19:I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3"/>
  <sheetViews>
    <sheetView tabSelected="1" zoomScaleNormal="100" workbookViewId="0">
      <selection activeCell="A2" sqref="A2"/>
    </sheetView>
  </sheetViews>
  <sheetFormatPr baseColWidth="10" defaultColWidth="14.42578125" defaultRowHeight="15" customHeight="1" x14ac:dyDescent="0.25"/>
  <cols>
    <col min="1" max="1" width="0.140625" style="94" customWidth="1"/>
    <col min="2" max="2" width="9.5703125" style="94" customWidth="1"/>
    <col min="3" max="16" width="10.7109375" style="94" customWidth="1"/>
    <col min="17" max="23" width="11.42578125" style="94" customWidth="1"/>
    <col min="24" max="16384" width="14.42578125" style="94"/>
  </cols>
  <sheetData>
    <row r="1" spans="1:24" ht="4.5" customHeight="1" thickBot="1" x14ac:dyDescent="0.3">
      <c r="J1" s="95"/>
    </row>
    <row r="2" spans="1:24" s="2" customFormat="1" ht="30" customHeight="1" x14ac:dyDescent="0.25">
      <c r="A2" s="186"/>
      <c r="B2" s="634"/>
      <c r="C2" s="635"/>
      <c r="D2" s="636"/>
      <c r="E2" s="571" t="s">
        <v>147</v>
      </c>
      <c r="F2" s="572"/>
      <c r="G2" s="572"/>
      <c r="H2" s="572"/>
      <c r="I2" s="572"/>
      <c r="J2" s="572"/>
      <c r="K2" s="572"/>
      <c r="L2" s="572"/>
      <c r="M2" s="572"/>
      <c r="N2" s="572"/>
      <c r="O2" s="637"/>
      <c r="P2" s="575"/>
    </row>
    <row r="3" spans="1:24" s="2" customFormat="1" ht="25.5" customHeight="1" thickBot="1" x14ac:dyDescent="0.3">
      <c r="A3" s="186"/>
      <c r="B3" s="638"/>
      <c r="C3" s="639"/>
      <c r="D3" s="640"/>
      <c r="E3" s="573"/>
      <c r="F3" s="574"/>
      <c r="G3" s="574"/>
      <c r="H3" s="574"/>
      <c r="I3" s="574"/>
      <c r="J3" s="574"/>
      <c r="K3" s="574"/>
      <c r="L3" s="574"/>
      <c r="M3" s="574"/>
      <c r="N3" s="574"/>
      <c r="O3" s="641"/>
      <c r="P3" s="576"/>
    </row>
    <row r="4" spans="1:24" ht="11.25" customHeight="1" thickBot="1" x14ac:dyDescent="0.3">
      <c r="A4" s="96"/>
      <c r="B4" s="382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97"/>
      <c r="R4" s="97"/>
      <c r="S4" s="97"/>
      <c r="T4" s="97"/>
      <c r="U4" s="97"/>
      <c r="V4" s="97"/>
      <c r="W4" s="97"/>
      <c r="X4" s="97"/>
    </row>
    <row r="5" spans="1:24" ht="31.5" customHeight="1" thickBot="1" x14ac:dyDescent="0.3">
      <c r="A5" s="96"/>
      <c r="B5" s="98" t="s">
        <v>0</v>
      </c>
      <c r="C5" s="383">
        <v>43035</v>
      </c>
      <c r="D5" s="384"/>
      <c r="E5" s="99" t="s">
        <v>50</v>
      </c>
      <c r="F5" s="100">
        <v>1</v>
      </c>
      <c r="G5" s="101" t="s">
        <v>1</v>
      </c>
      <c r="H5" s="580" t="s">
        <v>148</v>
      </c>
      <c r="I5" s="581"/>
      <c r="J5" s="581"/>
      <c r="K5" s="581"/>
      <c r="L5" s="581"/>
      <c r="M5" s="581"/>
      <c r="N5" s="581"/>
      <c r="O5" s="581"/>
      <c r="P5" s="582"/>
      <c r="Q5" s="97"/>
      <c r="R5" s="97"/>
      <c r="S5" s="97"/>
      <c r="T5" s="97"/>
      <c r="U5" s="97"/>
      <c r="V5" s="97"/>
      <c r="W5" s="97"/>
      <c r="X5" s="97"/>
    </row>
    <row r="6" spans="1:24" s="106" customFormat="1" ht="21.75" customHeight="1" thickBot="1" x14ac:dyDescent="0.3">
      <c r="A6" s="102"/>
      <c r="B6" s="368" t="s">
        <v>2</v>
      </c>
      <c r="C6" s="369"/>
      <c r="D6" s="370" t="s">
        <v>110</v>
      </c>
      <c r="E6" s="371"/>
      <c r="F6" s="371"/>
      <c r="G6" s="371"/>
      <c r="H6" s="371"/>
      <c r="I6" s="372"/>
      <c r="J6" s="103" t="s">
        <v>3</v>
      </c>
      <c r="K6" s="560" t="s">
        <v>139</v>
      </c>
      <c r="L6" s="559"/>
      <c r="M6" s="560" t="s">
        <v>140</v>
      </c>
      <c r="N6" s="561"/>
      <c r="O6" s="104" t="s">
        <v>51</v>
      </c>
      <c r="P6" s="105">
        <v>195</v>
      </c>
    </row>
    <row r="7" spans="1:24" ht="21.75" customHeight="1" x14ac:dyDescent="0.25">
      <c r="B7" s="373" t="s">
        <v>52</v>
      </c>
      <c r="C7" s="374" t="s">
        <v>53</v>
      </c>
      <c r="D7" s="346"/>
      <c r="E7" s="107"/>
      <c r="F7" s="375" t="s">
        <v>54</v>
      </c>
      <c r="G7" s="376"/>
      <c r="H7" s="376"/>
      <c r="I7" s="376"/>
      <c r="J7" s="377" t="s">
        <v>55</v>
      </c>
      <c r="K7" s="378"/>
      <c r="L7" s="378"/>
      <c r="M7" s="379"/>
      <c r="N7" s="380" t="s">
        <v>111</v>
      </c>
      <c r="O7" s="381"/>
      <c r="P7" s="108" t="s">
        <v>56</v>
      </c>
    </row>
    <row r="8" spans="1:24" ht="21.75" customHeight="1" thickBot="1" x14ac:dyDescent="0.3">
      <c r="B8" s="260"/>
      <c r="C8" s="337" t="s">
        <v>57</v>
      </c>
      <c r="D8" s="336"/>
      <c r="E8" s="109" t="s">
        <v>4</v>
      </c>
      <c r="F8" s="347" t="s">
        <v>5</v>
      </c>
      <c r="G8" s="348"/>
      <c r="H8" s="348"/>
      <c r="I8" s="348"/>
      <c r="J8" s="349"/>
      <c r="K8" s="350"/>
      <c r="L8" s="350"/>
      <c r="M8" s="351"/>
      <c r="N8" s="352"/>
      <c r="O8" s="353"/>
      <c r="P8" s="110"/>
    </row>
    <row r="9" spans="1:24" ht="21.75" customHeight="1" x14ac:dyDescent="0.25">
      <c r="B9" s="354" t="s">
        <v>6</v>
      </c>
      <c r="C9" s="357" t="s">
        <v>58</v>
      </c>
      <c r="D9" s="358" t="s">
        <v>59</v>
      </c>
      <c r="E9" s="343"/>
      <c r="F9" s="111"/>
      <c r="G9" s="359" t="s">
        <v>7</v>
      </c>
      <c r="H9" s="360" t="s">
        <v>8</v>
      </c>
      <c r="I9" s="346"/>
      <c r="J9" s="112"/>
      <c r="K9" s="357" t="s">
        <v>60</v>
      </c>
      <c r="L9" s="361" t="s">
        <v>112</v>
      </c>
      <c r="M9" s="362"/>
      <c r="N9" s="363"/>
      <c r="O9" s="363"/>
      <c r="P9" s="364"/>
    </row>
    <row r="10" spans="1:24" ht="21.75" customHeight="1" thickBot="1" x14ac:dyDescent="0.3">
      <c r="B10" s="355"/>
      <c r="C10" s="308"/>
      <c r="D10" s="341" t="s">
        <v>61</v>
      </c>
      <c r="E10" s="336"/>
      <c r="F10" s="113" t="s">
        <v>113</v>
      </c>
      <c r="G10" s="308"/>
      <c r="H10" s="341" t="s">
        <v>9</v>
      </c>
      <c r="I10" s="336"/>
      <c r="J10" s="114" t="s">
        <v>4</v>
      </c>
      <c r="K10" s="308"/>
      <c r="L10" s="365"/>
      <c r="M10" s="366"/>
      <c r="N10" s="366"/>
      <c r="O10" s="366"/>
      <c r="P10" s="367"/>
    </row>
    <row r="11" spans="1:24" ht="21.75" customHeight="1" x14ac:dyDescent="0.25">
      <c r="A11" s="96"/>
      <c r="B11" s="355"/>
      <c r="C11" s="342" t="s">
        <v>10</v>
      </c>
      <c r="D11" s="343"/>
      <c r="E11" s="115">
        <v>0.65625</v>
      </c>
      <c r="F11" s="344" t="s">
        <v>11</v>
      </c>
      <c r="G11" s="343"/>
      <c r="H11" s="116">
        <v>1.07</v>
      </c>
      <c r="I11" s="345" t="s">
        <v>12</v>
      </c>
      <c r="J11" s="346"/>
      <c r="K11" s="117">
        <v>28</v>
      </c>
      <c r="L11" s="342" t="s">
        <v>13</v>
      </c>
      <c r="M11" s="343"/>
      <c r="N11" s="118">
        <v>29</v>
      </c>
      <c r="O11" s="333" t="s">
        <v>62</v>
      </c>
      <c r="P11" s="334"/>
    </row>
    <row r="12" spans="1:24" ht="21.75" customHeight="1" thickBot="1" x14ac:dyDescent="0.3">
      <c r="A12" s="96"/>
      <c r="B12" s="356"/>
      <c r="C12" s="335" t="s">
        <v>14</v>
      </c>
      <c r="D12" s="336"/>
      <c r="E12" s="115">
        <v>0.74305555555555547</v>
      </c>
      <c r="F12" s="337" t="s">
        <v>15</v>
      </c>
      <c r="G12" s="336"/>
      <c r="H12" s="116">
        <v>1.0900000000000001</v>
      </c>
      <c r="I12" s="338" t="s">
        <v>16</v>
      </c>
      <c r="J12" s="336"/>
      <c r="K12" s="115">
        <v>0.65277777777777779</v>
      </c>
      <c r="L12" s="335" t="s">
        <v>17</v>
      </c>
      <c r="M12" s="336"/>
      <c r="N12" s="119">
        <v>2</v>
      </c>
      <c r="O12" s="339">
        <v>3.82</v>
      </c>
      <c r="P12" s="340"/>
    </row>
    <row r="13" spans="1:24" ht="21.75" customHeight="1" x14ac:dyDescent="0.25">
      <c r="A13" s="96"/>
      <c r="B13" s="321" t="s">
        <v>18</v>
      </c>
      <c r="C13" s="322" t="s">
        <v>114</v>
      </c>
      <c r="D13" s="323"/>
      <c r="E13" s="323"/>
      <c r="F13" s="324" t="s">
        <v>115</v>
      </c>
      <c r="G13" s="323"/>
      <c r="H13" s="323"/>
      <c r="I13" s="323"/>
      <c r="J13" s="324" t="s">
        <v>116</v>
      </c>
      <c r="K13" s="323"/>
      <c r="L13" s="323"/>
      <c r="M13" s="323"/>
      <c r="N13" s="325" t="s">
        <v>117</v>
      </c>
      <c r="O13" s="323"/>
      <c r="P13" s="326"/>
      <c r="Q13" s="97"/>
      <c r="R13" s="97"/>
      <c r="S13" s="97"/>
      <c r="T13" s="97"/>
      <c r="U13" s="97"/>
      <c r="V13" s="97"/>
      <c r="W13" s="97"/>
      <c r="X13" s="97"/>
    </row>
    <row r="14" spans="1:24" ht="21.75" customHeight="1" x14ac:dyDescent="0.25">
      <c r="A14" s="96"/>
      <c r="B14" s="247"/>
      <c r="C14" s="327" t="s">
        <v>118</v>
      </c>
      <c r="D14" s="328"/>
      <c r="E14" s="328"/>
      <c r="F14" s="329" t="s">
        <v>119</v>
      </c>
      <c r="G14" s="328"/>
      <c r="H14" s="328"/>
      <c r="I14" s="328"/>
      <c r="J14" s="330" t="s">
        <v>120</v>
      </c>
      <c r="K14" s="328"/>
      <c r="L14" s="328"/>
      <c r="M14" s="328"/>
      <c r="N14" s="331"/>
      <c r="O14" s="258"/>
      <c r="P14" s="249"/>
      <c r="Q14" s="97"/>
      <c r="R14" s="97"/>
      <c r="S14" s="97"/>
      <c r="T14" s="97"/>
      <c r="U14" s="97"/>
      <c r="V14" s="97"/>
      <c r="W14" s="97"/>
      <c r="X14" s="97"/>
    </row>
    <row r="15" spans="1:24" ht="21.75" customHeight="1" thickBot="1" x14ac:dyDescent="0.3">
      <c r="A15" s="96"/>
      <c r="B15" s="260"/>
      <c r="C15" s="332" t="s">
        <v>121</v>
      </c>
      <c r="D15" s="310"/>
      <c r="E15" s="310"/>
      <c r="F15" s="310" t="s">
        <v>122</v>
      </c>
      <c r="G15" s="311"/>
      <c r="H15" s="311"/>
      <c r="I15" s="311"/>
      <c r="J15" s="310" t="s">
        <v>72</v>
      </c>
      <c r="K15" s="311"/>
      <c r="L15" s="311"/>
      <c r="M15" s="311"/>
      <c r="N15" s="312"/>
      <c r="O15" s="206"/>
      <c r="P15" s="207"/>
      <c r="Q15" s="97"/>
      <c r="R15" s="97"/>
      <c r="S15" s="97"/>
      <c r="T15" s="97"/>
      <c r="U15" s="97"/>
      <c r="V15" s="97"/>
      <c r="W15" s="97"/>
      <c r="X15" s="97"/>
    </row>
    <row r="16" spans="1:24" ht="21.75" customHeight="1" x14ac:dyDescent="0.25">
      <c r="A16" s="96"/>
      <c r="B16" s="313" t="s">
        <v>19</v>
      </c>
      <c r="C16" s="315" t="s">
        <v>20</v>
      </c>
      <c r="D16" s="315" t="s">
        <v>123</v>
      </c>
      <c r="E16" s="317" t="s">
        <v>21</v>
      </c>
      <c r="F16" s="318" t="s">
        <v>124</v>
      </c>
      <c r="G16" s="215"/>
      <c r="H16" s="315" t="s">
        <v>73</v>
      </c>
      <c r="I16" s="320" t="s">
        <v>74</v>
      </c>
      <c r="J16" s="120" t="s">
        <v>125</v>
      </c>
      <c r="K16" s="121"/>
      <c r="L16" s="122" t="s">
        <v>126</v>
      </c>
      <c r="M16" s="122" t="s">
        <v>127</v>
      </c>
      <c r="N16" s="122" t="s">
        <v>127</v>
      </c>
      <c r="O16" s="122" t="s">
        <v>128</v>
      </c>
      <c r="P16" s="123" t="s">
        <v>22</v>
      </c>
    </row>
    <row r="17" spans="1:24" ht="21.75" customHeight="1" thickBot="1" x14ac:dyDescent="0.3">
      <c r="A17" s="124"/>
      <c r="B17" s="314"/>
      <c r="C17" s="316"/>
      <c r="D17" s="316"/>
      <c r="E17" s="316"/>
      <c r="F17" s="319"/>
      <c r="G17" s="258"/>
      <c r="H17" s="316"/>
      <c r="I17" s="259"/>
      <c r="J17" s="125" t="s">
        <v>23</v>
      </c>
      <c r="K17" s="126" t="s">
        <v>24</v>
      </c>
      <c r="L17" s="126" t="s">
        <v>129</v>
      </c>
      <c r="M17" s="126" t="s">
        <v>130</v>
      </c>
      <c r="N17" s="126" t="s">
        <v>25</v>
      </c>
      <c r="O17" s="126" t="s">
        <v>26</v>
      </c>
      <c r="P17" s="127" t="s">
        <v>27</v>
      </c>
    </row>
    <row r="18" spans="1:24" s="139" customFormat="1" ht="21.75" customHeight="1" thickBot="1" x14ac:dyDescent="0.3">
      <c r="A18" s="128"/>
      <c r="B18" s="129"/>
      <c r="C18" s="130">
        <f>+O12</f>
        <v>3.82</v>
      </c>
      <c r="D18" s="130">
        <v>0.57999999999999996</v>
      </c>
      <c r="E18" s="131"/>
      <c r="F18" s="132"/>
      <c r="G18" s="133"/>
      <c r="H18" s="134"/>
      <c r="I18" s="135"/>
      <c r="J18" s="136"/>
      <c r="K18" s="131"/>
      <c r="L18" s="131"/>
      <c r="M18" s="131"/>
      <c r="N18" s="131"/>
      <c r="O18" s="131"/>
      <c r="P18" s="137"/>
      <c r="Q18" s="128"/>
      <c r="R18" s="138"/>
      <c r="S18" s="128"/>
      <c r="T18" s="128"/>
      <c r="U18" s="128"/>
      <c r="V18" s="128"/>
      <c r="W18" s="128"/>
      <c r="X18" s="128"/>
    </row>
    <row r="19" spans="1:24" s="139" customFormat="1" ht="13.5" customHeight="1" x14ac:dyDescent="0.25">
      <c r="A19" s="128"/>
      <c r="B19" s="306">
        <v>1</v>
      </c>
      <c r="C19" s="309">
        <f>+C18+$N$12</f>
        <v>5.82</v>
      </c>
      <c r="D19" s="286">
        <v>0.86</v>
      </c>
      <c r="E19" s="286">
        <v>0.81</v>
      </c>
      <c r="F19" s="140" t="s">
        <v>75</v>
      </c>
      <c r="G19" s="141">
        <v>0</v>
      </c>
      <c r="H19" s="142"/>
      <c r="I19" s="143"/>
      <c r="J19" s="144">
        <v>0.155</v>
      </c>
      <c r="K19" s="286">
        <f>+IF(E19&lt;=0.12,(J21),(IF(E19&lt;0.16,((J20+2*J21+J22)/4),IF(E19&gt;=0.16,((J19+3*J20+2*J21+3*J22+J23)/10)))))</f>
        <v>0.29429999999999995</v>
      </c>
      <c r="L19" s="286">
        <f>ROUND(+(D18+D19)/2*(C19-C18),3)</f>
        <v>1.44</v>
      </c>
      <c r="M19" s="286">
        <f>ROUND(+K19*L19,4)</f>
        <v>0.42380000000000001</v>
      </c>
      <c r="N19" s="289">
        <f>ROUND(+M19/$M$108*100,2)</f>
        <v>4.5199999999999996</v>
      </c>
      <c r="O19" s="290"/>
      <c r="P19" s="291"/>
      <c r="Q19" s="145"/>
      <c r="R19" s="138"/>
      <c r="T19" s="128"/>
      <c r="U19" s="128"/>
      <c r="V19" s="128"/>
      <c r="W19" s="128"/>
      <c r="X19" s="128"/>
    </row>
    <row r="20" spans="1:24" s="139" customFormat="1" ht="13.5" customHeight="1" x14ac:dyDescent="0.25">
      <c r="A20" s="128"/>
      <c r="B20" s="307"/>
      <c r="C20" s="287"/>
      <c r="D20" s="287"/>
      <c r="E20" s="287"/>
      <c r="F20" s="146" t="s">
        <v>76</v>
      </c>
      <c r="G20" s="147">
        <f>IF(E19&lt;0.125,"NA",IF(0.125&lt;=E19,(0.2*E19)))</f>
        <v>0.16200000000000003</v>
      </c>
      <c r="H20" s="148"/>
      <c r="I20" s="149"/>
      <c r="J20" s="150">
        <v>0.30199999999999999</v>
      </c>
      <c r="K20" s="287"/>
      <c r="L20" s="287"/>
      <c r="M20" s="287"/>
      <c r="N20" s="287"/>
      <c r="O20" s="287"/>
      <c r="P20" s="292"/>
      <c r="Q20" s="145"/>
      <c r="R20" s="145"/>
      <c r="S20" s="145"/>
      <c r="T20" s="128"/>
      <c r="U20" s="128"/>
      <c r="V20" s="128"/>
      <c r="W20" s="128"/>
      <c r="X20" s="128"/>
    </row>
    <row r="21" spans="1:24" s="139" customFormat="1" ht="13.5" customHeight="1" x14ac:dyDescent="0.25">
      <c r="A21" s="128"/>
      <c r="B21" s="307"/>
      <c r="C21" s="287"/>
      <c r="D21" s="287"/>
      <c r="E21" s="287"/>
      <c r="F21" s="146" t="s">
        <v>77</v>
      </c>
      <c r="G21" s="147">
        <f>+E19*0.4</f>
        <v>0.32400000000000007</v>
      </c>
      <c r="H21" s="148"/>
      <c r="I21" s="149"/>
      <c r="J21" s="150">
        <v>0.32900000000000001</v>
      </c>
      <c r="K21" s="287"/>
      <c r="L21" s="287"/>
      <c r="M21" s="287"/>
      <c r="N21" s="287"/>
      <c r="O21" s="287"/>
      <c r="P21" s="292"/>
      <c r="Q21" s="145"/>
      <c r="R21" s="138"/>
      <c r="S21" s="145"/>
      <c r="T21" s="128"/>
      <c r="U21" s="128"/>
      <c r="V21" s="128"/>
      <c r="W21" s="128"/>
      <c r="X21" s="128"/>
    </row>
    <row r="22" spans="1:24" s="139" customFormat="1" ht="13.5" customHeight="1" x14ac:dyDescent="0.25">
      <c r="A22" s="128"/>
      <c r="B22" s="307"/>
      <c r="C22" s="287"/>
      <c r="D22" s="287"/>
      <c r="E22" s="287"/>
      <c r="F22" s="146" t="s">
        <v>78</v>
      </c>
      <c r="G22" s="147">
        <f>IF(E19&lt;0.125,"NA",IF(0.125&lt;=E19,(0.8*E19)))</f>
        <v>0.64800000000000013</v>
      </c>
      <c r="H22" s="148"/>
      <c r="I22" s="149"/>
      <c r="J22" s="150">
        <v>0.307</v>
      </c>
      <c r="K22" s="287"/>
      <c r="L22" s="287"/>
      <c r="M22" s="287"/>
      <c r="N22" s="287"/>
      <c r="O22" s="287"/>
      <c r="P22" s="292"/>
      <c r="Q22" s="145"/>
      <c r="R22" s="145"/>
      <c r="S22" s="145"/>
      <c r="T22" s="128"/>
      <c r="U22" s="128"/>
      <c r="V22" s="128"/>
      <c r="W22" s="128"/>
      <c r="X22" s="128"/>
    </row>
    <row r="23" spans="1:24" s="139" customFormat="1" ht="13.5" customHeight="1" thickBot="1" x14ac:dyDescent="0.3">
      <c r="A23" s="128"/>
      <c r="B23" s="308"/>
      <c r="C23" s="288"/>
      <c r="D23" s="288"/>
      <c r="E23" s="288"/>
      <c r="F23" s="151" t="s">
        <v>79</v>
      </c>
      <c r="G23" s="152">
        <f>+E19</f>
        <v>0.81</v>
      </c>
      <c r="H23" s="153"/>
      <c r="I23" s="154"/>
      <c r="J23" s="155">
        <v>0.30299999999999999</v>
      </c>
      <c r="K23" s="288"/>
      <c r="L23" s="288"/>
      <c r="M23" s="288"/>
      <c r="N23" s="288"/>
      <c r="O23" s="288"/>
      <c r="P23" s="293"/>
      <c r="Q23" s="145"/>
      <c r="R23" s="138"/>
      <c r="S23" s="145"/>
      <c r="T23" s="128"/>
      <c r="U23" s="128"/>
      <c r="V23" s="128"/>
      <c r="W23" s="128"/>
      <c r="X23" s="128"/>
    </row>
    <row r="24" spans="1:24" s="139" customFormat="1" ht="13.5" customHeight="1" x14ac:dyDescent="0.25">
      <c r="A24" s="128"/>
      <c r="B24" s="306">
        <v>2</v>
      </c>
      <c r="C24" s="309">
        <f>+C19+$N$12</f>
        <v>7.82</v>
      </c>
      <c r="D24" s="286">
        <v>0.71299999999999997</v>
      </c>
      <c r="E24" s="286">
        <v>0.84299999999999997</v>
      </c>
      <c r="F24" s="140" t="s">
        <v>75</v>
      </c>
      <c r="G24" s="141">
        <v>0</v>
      </c>
      <c r="H24" s="142"/>
      <c r="I24" s="143"/>
      <c r="J24" s="144">
        <v>0.154</v>
      </c>
      <c r="K24" s="286">
        <f>+IF(E24&lt;=0.12,(J26),(IF(E24&lt;0.16,((J25+2*J26+J27)/4),IF(E24&gt;=0.16,((J24+3*J25+2*J26+3*J27+J28)/10)))))</f>
        <v>0.36269999999999997</v>
      </c>
      <c r="L24" s="286">
        <f>ROUND(+(D19+D24)/2*(C24-C19),3)</f>
        <v>1.573</v>
      </c>
      <c r="M24" s="286">
        <f>ROUND(+K24*L24,4)</f>
        <v>0.57050000000000001</v>
      </c>
      <c r="N24" s="289">
        <f>ROUND(+M24/$M$108*100,2)</f>
        <v>6.09</v>
      </c>
      <c r="O24" s="290"/>
      <c r="P24" s="291"/>
      <c r="Q24" s="145"/>
      <c r="R24" s="138"/>
      <c r="T24" s="128"/>
      <c r="U24" s="128"/>
      <c r="V24" s="128"/>
      <c r="W24" s="128"/>
      <c r="X24" s="128"/>
    </row>
    <row r="25" spans="1:24" s="139" customFormat="1" ht="13.5" customHeight="1" x14ac:dyDescent="0.25">
      <c r="A25" s="128"/>
      <c r="B25" s="307"/>
      <c r="C25" s="287"/>
      <c r="D25" s="287"/>
      <c r="E25" s="287"/>
      <c r="F25" s="146" t="s">
        <v>76</v>
      </c>
      <c r="G25" s="147">
        <f>IF(E24&lt;0.125,"NA",IF(0.125&lt;=E24,(0.2*E24)))</f>
        <v>0.1686</v>
      </c>
      <c r="H25" s="148"/>
      <c r="I25" s="149"/>
      <c r="J25" s="150">
        <v>0.30199999999999999</v>
      </c>
      <c r="K25" s="287"/>
      <c r="L25" s="287"/>
      <c r="M25" s="287"/>
      <c r="N25" s="287"/>
      <c r="O25" s="287"/>
      <c r="P25" s="292"/>
      <c r="Q25" s="145"/>
      <c r="R25" s="145"/>
      <c r="S25" s="145"/>
      <c r="T25" s="128"/>
      <c r="U25" s="128"/>
      <c r="V25" s="128"/>
      <c r="W25" s="128"/>
      <c r="X25" s="128"/>
    </row>
    <row r="26" spans="1:24" s="139" customFormat="1" ht="13.5" customHeight="1" x14ac:dyDescent="0.25">
      <c r="A26" s="128"/>
      <c r="B26" s="307"/>
      <c r="C26" s="287"/>
      <c r="D26" s="287"/>
      <c r="E26" s="287"/>
      <c r="F26" s="146" t="s">
        <v>77</v>
      </c>
      <c r="G26" s="147">
        <f>+E24*0.4</f>
        <v>0.3372</v>
      </c>
      <c r="H26" s="148"/>
      <c r="I26" s="149"/>
      <c r="J26" s="150">
        <v>0.374</v>
      </c>
      <c r="K26" s="287"/>
      <c r="L26" s="287"/>
      <c r="M26" s="287"/>
      <c r="N26" s="287"/>
      <c r="O26" s="287"/>
      <c r="P26" s="292"/>
      <c r="Q26" s="145"/>
      <c r="R26" s="138"/>
      <c r="S26" s="145"/>
      <c r="T26" s="128"/>
      <c r="U26" s="128"/>
      <c r="V26" s="128"/>
      <c r="W26" s="128"/>
      <c r="X26" s="128"/>
    </row>
    <row r="27" spans="1:24" s="139" customFormat="1" ht="13.5" customHeight="1" x14ac:dyDescent="0.25">
      <c r="A27" s="128"/>
      <c r="B27" s="307"/>
      <c r="C27" s="287"/>
      <c r="D27" s="287"/>
      <c r="E27" s="287"/>
      <c r="F27" s="146" t="s">
        <v>78</v>
      </c>
      <c r="G27" s="147">
        <f>IF(E24&lt;0.125,"NA",IF(0.125&lt;=E24,(0.8*E24)))</f>
        <v>0.6744</v>
      </c>
      <c r="H27" s="148"/>
      <c r="I27" s="149"/>
      <c r="J27" s="150">
        <v>0.46800000000000003</v>
      </c>
      <c r="K27" s="287"/>
      <c r="L27" s="287"/>
      <c r="M27" s="287"/>
      <c r="N27" s="287"/>
      <c r="O27" s="287"/>
      <c r="P27" s="292"/>
      <c r="Q27" s="145"/>
      <c r="R27" s="145"/>
      <c r="S27" s="145"/>
      <c r="T27" s="128"/>
      <c r="U27" s="128"/>
      <c r="V27" s="128"/>
      <c r="W27" s="128"/>
      <c r="X27" s="128"/>
    </row>
    <row r="28" spans="1:24" s="139" customFormat="1" ht="13.5" customHeight="1" thickBot="1" x14ac:dyDescent="0.3">
      <c r="A28" s="128"/>
      <c r="B28" s="308"/>
      <c r="C28" s="288"/>
      <c r="D28" s="288"/>
      <c r="E28" s="288"/>
      <c r="F28" s="151" t="s">
        <v>79</v>
      </c>
      <c r="G28" s="152">
        <f>+E24</f>
        <v>0.84299999999999997</v>
      </c>
      <c r="H28" s="153"/>
      <c r="I28" s="154"/>
      <c r="J28" s="155">
        <v>0.41499999999999998</v>
      </c>
      <c r="K28" s="288"/>
      <c r="L28" s="288"/>
      <c r="M28" s="288"/>
      <c r="N28" s="288"/>
      <c r="O28" s="288"/>
      <c r="P28" s="293"/>
      <c r="Q28" s="145"/>
      <c r="R28" s="138"/>
      <c r="S28" s="145"/>
      <c r="T28" s="128"/>
      <c r="U28" s="128"/>
      <c r="V28" s="128"/>
      <c r="W28" s="128"/>
      <c r="X28" s="128"/>
    </row>
    <row r="29" spans="1:24" s="139" customFormat="1" ht="13.5" customHeight="1" x14ac:dyDescent="0.25">
      <c r="A29" s="128"/>
      <c r="B29" s="306">
        <v>3</v>
      </c>
      <c r="C29" s="309">
        <f>+C24+$N$12</f>
        <v>9.82</v>
      </c>
      <c r="D29" s="286">
        <v>0.51500000000000001</v>
      </c>
      <c r="E29" s="286">
        <v>0.63</v>
      </c>
      <c r="F29" s="140" t="s">
        <v>75</v>
      </c>
      <c r="G29" s="141">
        <v>0</v>
      </c>
      <c r="H29" s="142"/>
      <c r="I29" s="143"/>
      <c r="J29" s="144">
        <v>0.129</v>
      </c>
      <c r="K29" s="286">
        <f>+IF(E29&lt;=0.12,(J31),(IF(E29&lt;0.16,((J30+2*J31+J32)/4),IF(E29&gt;=0.16,((J29+3*J30+2*J31+3*J32+J33)/10)))))</f>
        <v>0.39839999999999998</v>
      </c>
      <c r="L29" s="286">
        <f>ROUND(+(D24+D29)/2*(C29-C24),3)</f>
        <v>1.228</v>
      </c>
      <c r="M29" s="286">
        <f>ROUND(+K29*L29,4)</f>
        <v>0.48920000000000002</v>
      </c>
      <c r="N29" s="289">
        <f>ROUND(+M29/$M$108*100,2)</f>
        <v>5.22</v>
      </c>
      <c r="O29" s="290"/>
      <c r="P29" s="291"/>
      <c r="Q29" s="145"/>
      <c r="R29" s="138"/>
      <c r="T29" s="128"/>
      <c r="U29" s="128"/>
      <c r="V29" s="128"/>
      <c r="W29" s="128"/>
      <c r="X29" s="128"/>
    </row>
    <row r="30" spans="1:24" s="139" customFormat="1" ht="13.5" customHeight="1" x14ac:dyDescent="0.25">
      <c r="A30" s="128"/>
      <c r="B30" s="307"/>
      <c r="C30" s="287"/>
      <c r="D30" s="287"/>
      <c r="E30" s="287"/>
      <c r="F30" s="146" t="s">
        <v>76</v>
      </c>
      <c r="G30" s="147">
        <f>IF(E29&lt;0.125,"NA",IF(0.125&lt;=E29,(0.2*E29)))</f>
        <v>0.126</v>
      </c>
      <c r="H30" s="148"/>
      <c r="I30" s="149"/>
      <c r="J30" s="150">
        <v>0.35599999999999998</v>
      </c>
      <c r="K30" s="287"/>
      <c r="L30" s="287"/>
      <c r="M30" s="287"/>
      <c r="N30" s="287"/>
      <c r="O30" s="287"/>
      <c r="P30" s="292"/>
      <c r="Q30" s="145"/>
      <c r="R30" s="145"/>
      <c r="S30" s="145"/>
      <c r="T30" s="128"/>
      <c r="U30" s="128"/>
      <c r="V30" s="128"/>
      <c r="W30" s="128"/>
      <c r="X30" s="128"/>
    </row>
    <row r="31" spans="1:24" s="139" customFormat="1" ht="13.5" customHeight="1" x14ac:dyDescent="0.25">
      <c r="A31" s="128"/>
      <c r="B31" s="307"/>
      <c r="C31" s="287"/>
      <c r="D31" s="287"/>
      <c r="E31" s="287"/>
      <c r="F31" s="146" t="s">
        <v>77</v>
      </c>
      <c r="G31" s="147">
        <f>+E29*0.4</f>
        <v>0.252</v>
      </c>
      <c r="H31" s="148"/>
      <c r="I31" s="149"/>
      <c r="J31" s="150">
        <v>0.434</v>
      </c>
      <c r="K31" s="287"/>
      <c r="L31" s="287"/>
      <c r="M31" s="287"/>
      <c r="N31" s="287"/>
      <c r="O31" s="287"/>
      <c r="P31" s="292"/>
      <c r="Q31" s="145"/>
      <c r="R31" s="138"/>
      <c r="S31" s="145"/>
      <c r="T31" s="128"/>
      <c r="U31" s="128"/>
      <c r="V31" s="128"/>
      <c r="W31" s="128"/>
      <c r="X31" s="128"/>
    </row>
    <row r="32" spans="1:24" s="139" customFormat="1" ht="13.5" customHeight="1" x14ac:dyDescent="0.25">
      <c r="A32" s="128"/>
      <c r="B32" s="307"/>
      <c r="C32" s="287"/>
      <c r="D32" s="287"/>
      <c r="E32" s="287"/>
      <c r="F32" s="146" t="s">
        <v>78</v>
      </c>
      <c r="G32" s="147">
        <f>IF(E29&lt;0.125,"NA",IF(0.125&lt;=E29,(0.8*E29)))</f>
        <v>0.504</v>
      </c>
      <c r="H32" s="148"/>
      <c r="I32" s="149"/>
      <c r="J32" s="150">
        <v>0.49099999999999999</v>
      </c>
      <c r="K32" s="287"/>
      <c r="L32" s="287"/>
      <c r="M32" s="287"/>
      <c r="N32" s="287"/>
      <c r="O32" s="287"/>
      <c r="P32" s="292"/>
      <c r="Q32" s="145"/>
      <c r="R32" s="145"/>
      <c r="S32" s="145"/>
      <c r="T32" s="128"/>
      <c r="U32" s="128"/>
      <c r="V32" s="128"/>
      <c r="W32" s="128"/>
      <c r="X32" s="128"/>
    </row>
    <row r="33" spans="1:24" s="139" customFormat="1" ht="13.5" customHeight="1" thickBot="1" x14ac:dyDescent="0.3">
      <c r="A33" s="128"/>
      <c r="B33" s="308"/>
      <c r="C33" s="288"/>
      <c r="D33" s="288"/>
      <c r="E33" s="288"/>
      <c r="F33" s="151" t="s">
        <v>79</v>
      </c>
      <c r="G33" s="152">
        <f>+E29</f>
        <v>0.63</v>
      </c>
      <c r="H33" s="153"/>
      <c r="I33" s="154"/>
      <c r="J33" s="155">
        <v>0.44600000000000001</v>
      </c>
      <c r="K33" s="288"/>
      <c r="L33" s="288"/>
      <c r="M33" s="288"/>
      <c r="N33" s="288"/>
      <c r="O33" s="288"/>
      <c r="P33" s="293"/>
      <c r="Q33" s="145"/>
      <c r="R33" s="138"/>
      <c r="S33" s="145"/>
      <c r="T33" s="128"/>
      <c r="U33" s="128"/>
      <c r="V33" s="128"/>
      <c r="W33" s="128"/>
      <c r="X33" s="128"/>
    </row>
    <row r="34" spans="1:24" s="139" customFormat="1" ht="13.5" customHeight="1" x14ac:dyDescent="0.25">
      <c r="A34" s="128"/>
      <c r="B34" s="306">
        <v>4</v>
      </c>
      <c r="C34" s="309">
        <f>+C29+$N$12</f>
        <v>11.82</v>
      </c>
      <c r="D34" s="286">
        <v>0.54900000000000004</v>
      </c>
      <c r="E34" s="286">
        <v>0.495</v>
      </c>
      <c r="F34" s="140" t="s">
        <v>75</v>
      </c>
      <c r="G34" s="141">
        <v>0</v>
      </c>
      <c r="H34" s="142"/>
      <c r="I34" s="143"/>
      <c r="J34" s="144">
        <v>0.33800000000000002</v>
      </c>
      <c r="K34" s="286">
        <f>+IF(E34&lt;=0.12,(J36),(IF(E34&lt;0.16,((J35+2*J36+J37)/4),IF(E34&gt;=0.16,((J34+3*J35+2*J36+3*J37+J38)/10)))))</f>
        <v>0.4882999999999999</v>
      </c>
      <c r="L34" s="286">
        <f>ROUND(+(D29+D34)/2*(C34-C29),3)</f>
        <v>1.0640000000000001</v>
      </c>
      <c r="M34" s="286">
        <f>ROUND(+K34*L34,4)</f>
        <v>0.51959999999999995</v>
      </c>
      <c r="N34" s="289">
        <f>ROUND(+M34/$M$108*100,2)</f>
        <v>5.55</v>
      </c>
      <c r="O34" s="290"/>
      <c r="P34" s="291"/>
      <c r="Q34" s="145"/>
      <c r="R34" s="138"/>
      <c r="T34" s="128"/>
      <c r="U34" s="128"/>
      <c r="V34" s="128"/>
      <c r="W34" s="128"/>
      <c r="X34" s="128"/>
    </row>
    <row r="35" spans="1:24" s="139" customFormat="1" ht="13.5" customHeight="1" x14ac:dyDescent="0.25">
      <c r="A35" s="128"/>
      <c r="B35" s="307"/>
      <c r="C35" s="287"/>
      <c r="D35" s="287"/>
      <c r="E35" s="287"/>
      <c r="F35" s="146" t="s">
        <v>76</v>
      </c>
      <c r="G35" s="147">
        <f>IF(E34&lt;0.125,"NA",IF(0.125&lt;=E34,(0.2*E34)))</f>
        <v>9.9000000000000005E-2</v>
      </c>
      <c r="H35" s="148"/>
      <c r="I35" s="149"/>
      <c r="J35" s="150">
        <v>0.40600000000000003</v>
      </c>
      <c r="K35" s="287"/>
      <c r="L35" s="287"/>
      <c r="M35" s="287"/>
      <c r="N35" s="287"/>
      <c r="O35" s="287"/>
      <c r="P35" s="292"/>
      <c r="Q35" s="145"/>
      <c r="R35" s="145"/>
      <c r="S35" s="145"/>
      <c r="T35" s="128"/>
      <c r="U35" s="128"/>
      <c r="V35" s="128"/>
      <c r="W35" s="128"/>
      <c r="X35" s="128"/>
    </row>
    <row r="36" spans="1:24" s="139" customFormat="1" ht="13.5" customHeight="1" x14ac:dyDescent="0.25">
      <c r="A36" s="128"/>
      <c r="B36" s="307"/>
      <c r="C36" s="287"/>
      <c r="D36" s="287"/>
      <c r="E36" s="287"/>
      <c r="F36" s="146" t="s">
        <v>77</v>
      </c>
      <c r="G36" s="147">
        <f>+E34*0.4</f>
        <v>0.19800000000000001</v>
      </c>
      <c r="H36" s="148"/>
      <c r="I36" s="149"/>
      <c r="J36" s="150">
        <v>0.51700000000000002</v>
      </c>
      <c r="K36" s="287"/>
      <c r="L36" s="287"/>
      <c r="M36" s="287"/>
      <c r="N36" s="287"/>
      <c r="O36" s="287"/>
      <c r="P36" s="292"/>
      <c r="Q36" s="145"/>
      <c r="R36" s="138"/>
      <c r="S36" s="145"/>
      <c r="T36" s="128"/>
      <c r="U36" s="128"/>
      <c r="V36" s="128"/>
      <c r="W36" s="128"/>
      <c r="X36" s="128"/>
    </row>
    <row r="37" spans="1:24" s="139" customFormat="1" ht="13.5" customHeight="1" x14ac:dyDescent="0.25">
      <c r="A37" s="128"/>
      <c r="B37" s="307"/>
      <c r="C37" s="287"/>
      <c r="D37" s="287"/>
      <c r="E37" s="287"/>
      <c r="F37" s="146" t="s">
        <v>78</v>
      </c>
      <c r="G37" s="147">
        <f>IF(E34&lt;0.125,"NA",IF(0.125&lt;=E34,(0.8*E34)))</f>
        <v>0.39600000000000002</v>
      </c>
      <c r="H37" s="148"/>
      <c r="I37" s="149"/>
      <c r="J37" s="150">
        <v>0.59899999999999998</v>
      </c>
      <c r="K37" s="287"/>
      <c r="L37" s="287"/>
      <c r="M37" s="287"/>
      <c r="N37" s="287"/>
      <c r="O37" s="287"/>
      <c r="P37" s="292"/>
      <c r="Q37" s="145"/>
      <c r="R37" s="145"/>
      <c r="S37" s="145"/>
      <c r="T37" s="128"/>
      <c r="U37" s="128"/>
      <c r="V37" s="128"/>
      <c r="W37" s="128"/>
      <c r="X37" s="128"/>
    </row>
    <row r="38" spans="1:24" s="139" customFormat="1" ht="13.5" customHeight="1" thickBot="1" x14ac:dyDescent="0.3">
      <c r="A38" s="128"/>
      <c r="B38" s="308"/>
      <c r="C38" s="288"/>
      <c r="D38" s="288"/>
      <c r="E38" s="288"/>
      <c r="F38" s="151" t="s">
        <v>79</v>
      </c>
      <c r="G38" s="152">
        <f>+E34</f>
        <v>0.495</v>
      </c>
      <c r="H38" s="153"/>
      <c r="I38" s="154"/>
      <c r="J38" s="155">
        <v>0.496</v>
      </c>
      <c r="K38" s="288"/>
      <c r="L38" s="288"/>
      <c r="M38" s="288"/>
      <c r="N38" s="288"/>
      <c r="O38" s="288"/>
      <c r="P38" s="293"/>
      <c r="Q38" s="145"/>
      <c r="R38" s="138"/>
      <c r="S38" s="145"/>
      <c r="T38" s="128"/>
      <c r="U38" s="128"/>
      <c r="V38" s="128"/>
      <c r="W38" s="128"/>
      <c r="X38" s="128"/>
    </row>
    <row r="39" spans="1:24" s="139" customFormat="1" ht="13.5" customHeight="1" x14ac:dyDescent="0.25">
      <c r="A39" s="128"/>
      <c r="B39" s="306">
        <v>5</v>
      </c>
      <c r="C39" s="309">
        <f>+C34+$N$12</f>
        <v>13.82</v>
      </c>
      <c r="D39" s="286">
        <v>0.58599999999999997</v>
      </c>
      <c r="E39" s="286">
        <v>0.53300000000000003</v>
      </c>
      <c r="F39" s="140" t="s">
        <v>75</v>
      </c>
      <c r="G39" s="141">
        <v>0</v>
      </c>
      <c r="H39" s="142"/>
      <c r="I39" s="143"/>
      <c r="J39" s="144">
        <v>0.32300000000000001</v>
      </c>
      <c r="K39" s="286">
        <f>+IF(E39&lt;=0.12,(J41),(IF(E39&lt;0.16,((J40+2*J41+J42)/4),IF(E39&gt;=0.16,((J39+3*J40+2*J41+3*J42+J43)/10)))))</f>
        <v>0.55569999999999997</v>
      </c>
      <c r="L39" s="286">
        <f>ROUND(+(D34+D39)/2*(C39-C34),3)</f>
        <v>1.135</v>
      </c>
      <c r="M39" s="286">
        <f>ROUND(+K39*L39,4)</f>
        <v>0.63070000000000004</v>
      </c>
      <c r="N39" s="289">
        <f>ROUND(+M39/$M$108*100,2)</f>
        <v>6.73</v>
      </c>
      <c r="O39" s="290"/>
      <c r="P39" s="291"/>
      <c r="Q39" s="145"/>
      <c r="R39" s="138"/>
      <c r="T39" s="128"/>
      <c r="U39" s="128"/>
      <c r="V39" s="128"/>
      <c r="W39" s="128"/>
      <c r="X39" s="128"/>
    </row>
    <row r="40" spans="1:24" s="139" customFormat="1" ht="13.5" customHeight="1" x14ac:dyDescent="0.25">
      <c r="A40" s="128"/>
      <c r="B40" s="307"/>
      <c r="C40" s="287"/>
      <c r="D40" s="287"/>
      <c r="E40" s="287"/>
      <c r="F40" s="146" t="s">
        <v>76</v>
      </c>
      <c r="G40" s="147">
        <f>IF(E39&lt;0.125,"NA",IF(0.125&lt;=E39,(0.2*E39)))</f>
        <v>0.10660000000000001</v>
      </c>
      <c r="H40" s="148"/>
      <c r="I40" s="149"/>
      <c r="J40" s="150">
        <v>0.54700000000000004</v>
      </c>
      <c r="K40" s="287"/>
      <c r="L40" s="287"/>
      <c r="M40" s="287"/>
      <c r="N40" s="287"/>
      <c r="O40" s="287"/>
      <c r="P40" s="292"/>
      <c r="Q40" s="145"/>
      <c r="R40" s="145"/>
      <c r="S40" s="145"/>
      <c r="T40" s="128"/>
      <c r="U40" s="128"/>
      <c r="V40" s="128"/>
      <c r="W40" s="128"/>
      <c r="X40" s="128"/>
    </row>
    <row r="41" spans="1:24" s="139" customFormat="1" ht="13.5" customHeight="1" x14ac:dyDescent="0.25">
      <c r="A41" s="128"/>
      <c r="B41" s="307"/>
      <c r="C41" s="287"/>
      <c r="D41" s="287"/>
      <c r="E41" s="287"/>
      <c r="F41" s="146" t="s">
        <v>77</v>
      </c>
      <c r="G41" s="147">
        <f>+E39*0.4</f>
        <v>0.21320000000000003</v>
      </c>
      <c r="H41" s="148"/>
      <c r="I41" s="149"/>
      <c r="J41" s="150">
        <v>0.58799999999999997</v>
      </c>
      <c r="K41" s="287"/>
      <c r="L41" s="287"/>
      <c r="M41" s="287"/>
      <c r="N41" s="287"/>
      <c r="O41" s="287"/>
      <c r="P41" s="292"/>
      <c r="Q41" s="145"/>
      <c r="R41" s="138"/>
      <c r="S41" s="145"/>
      <c r="T41" s="128"/>
      <c r="U41" s="128"/>
      <c r="V41" s="128"/>
      <c r="W41" s="128"/>
      <c r="X41" s="128"/>
    </row>
    <row r="42" spans="1:24" s="139" customFormat="1" ht="13.5" customHeight="1" x14ac:dyDescent="0.25">
      <c r="A42" s="128"/>
      <c r="B42" s="307"/>
      <c r="C42" s="287"/>
      <c r="D42" s="287"/>
      <c r="E42" s="287"/>
      <c r="F42" s="146" t="s">
        <v>78</v>
      </c>
      <c r="G42" s="147">
        <f>IF(E39&lt;0.125,"NA",IF(0.125&lt;=E39,(0.8*E39)))</f>
        <v>0.42640000000000006</v>
      </c>
      <c r="H42" s="148"/>
      <c r="I42" s="149"/>
      <c r="J42" s="150">
        <v>0.60199999999999998</v>
      </c>
      <c r="K42" s="287"/>
      <c r="L42" s="287"/>
      <c r="M42" s="287"/>
      <c r="N42" s="287"/>
      <c r="O42" s="287"/>
      <c r="P42" s="292"/>
      <c r="Q42" s="145"/>
      <c r="R42" s="145"/>
      <c r="S42" s="145"/>
      <c r="T42" s="128"/>
      <c r="U42" s="128"/>
      <c r="V42" s="128"/>
      <c r="W42" s="128"/>
      <c r="X42" s="128"/>
    </row>
    <row r="43" spans="1:24" s="139" customFormat="1" ht="13.5" customHeight="1" thickBot="1" x14ac:dyDescent="0.3">
      <c r="A43" s="128"/>
      <c r="B43" s="308"/>
      <c r="C43" s="288"/>
      <c r="D43" s="288"/>
      <c r="E43" s="288"/>
      <c r="F43" s="151" t="s">
        <v>79</v>
      </c>
      <c r="G43" s="152">
        <f>+E39</f>
        <v>0.53300000000000003</v>
      </c>
      <c r="H43" s="153"/>
      <c r="I43" s="154"/>
      <c r="J43" s="155">
        <v>0.61099999999999999</v>
      </c>
      <c r="K43" s="288"/>
      <c r="L43" s="288"/>
      <c r="M43" s="288"/>
      <c r="N43" s="288"/>
      <c r="O43" s="288"/>
      <c r="P43" s="293"/>
      <c r="Q43" s="145"/>
      <c r="R43" s="138"/>
      <c r="S43" s="145"/>
      <c r="T43" s="128"/>
      <c r="U43" s="128"/>
      <c r="V43" s="128"/>
      <c r="W43" s="128"/>
      <c r="X43" s="128"/>
    </row>
    <row r="44" spans="1:24" s="139" customFormat="1" ht="13.5" customHeight="1" x14ac:dyDescent="0.25">
      <c r="A44" s="128"/>
      <c r="B44" s="306">
        <v>6</v>
      </c>
      <c r="C44" s="309">
        <f>+C39+$N$12</f>
        <v>15.82</v>
      </c>
      <c r="D44" s="286">
        <v>0.65500000000000003</v>
      </c>
      <c r="E44" s="286">
        <v>0.63300000000000001</v>
      </c>
      <c r="F44" s="140" t="s">
        <v>75</v>
      </c>
      <c r="G44" s="141">
        <v>0</v>
      </c>
      <c r="H44" s="142"/>
      <c r="I44" s="143"/>
      <c r="J44" s="144">
        <v>0.22500000000000001</v>
      </c>
      <c r="K44" s="286">
        <f>+IF(E44&lt;=0.12,(J46),(IF(E44&lt;0.16,((J45+2*J46+J47)/4),IF(E44&gt;=0.16,((J44+3*J45+2*J46+3*J47+J48)/10)))))</f>
        <v>0.58719999999999994</v>
      </c>
      <c r="L44" s="286">
        <f>ROUND(+(D39+D44)/2*(C44-C39),3)</f>
        <v>1.2410000000000001</v>
      </c>
      <c r="M44" s="286">
        <f>ROUND(+K44*L44,4)</f>
        <v>0.72870000000000001</v>
      </c>
      <c r="N44" s="289">
        <f>ROUND(+M44/$M$108*100,2)</f>
        <v>7.78</v>
      </c>
      <c r="O44" s="290"/>
      <c r="P44" s="291"/>
      <c r="Q44" s="145"/>
      <c r="R44" s="138"/>
      <c r="T44" s="128"/>
      <c r="U44" s="128"/>
      <c r="V44" s="128"/>
      <c r="W44" s="128"/>
      <c r="X44" s="128"/>
    </row>
    <row r="45" spans="1:24" s="139" customFormat="1" ht="13.5" customHeight="1" x14ac:dyDescent="0.25">
      <c r="A45" s="128"/>
      <c r="B45" s="307"/>
      <c r="C45" s="287"/>
      <c r="D45" s="287"/>
      <c r="E45" s="287"/>
      <c r="F45" s="146" t="s">
        <v>76</v>
      </c>
      <c r="G45" s="147">
        <f>IF(E44&lt;0.125,"NA",IF(0.125&lt;=E44,(0.2*E44)))</f>
        <v>0.12660000000000002</v>
      </c>
      <c r="H45" s="148"/>
      <c r="I45" s="149"/>
      <c r="J45" s="150">
        <v>0.56799999999999995</v>
      </c>
      <c r="K45" s="287"/>
      <c r="L45" s="287"/>
      <c r="M45" s="287"/>
      <c r="N45" s="287"/>
      <c r="O45" s="287"/>
      <c r="P45" s="292"/>
      <c r="Q45" s="145"/>
      <c r="R45" s="145"/>
      <c r="S45" s="145"/>
      <c r="T45" s="128"/>
      <c r="U45" s="128"/>
      <c r="V45" s="128"/>
      <c r="W45" s="128"/>
      <c r="X45" s="128"/>
    </row>
    <row r="46" spans="1:24" s="139" customFormat="1" ht="13.5" customHeight="1" x14ac:dyDescent="0.25">
      <c r="A46" s="128"/>
      <c r="B46" s="307"/>
      <c r="C46" s="287"/>
      <c r="D46" s="287"/>
      <c r="E46" s="287"/>
      <c r="F46" s="146" t="s">
        <v>77</v>
      </c>
      <c r="G46" s="147">
        <f>+E44*0.4</f>
        <v>0.25320000000000004</v>
      </c>
      <c r="H46" s="148"/>
      <c r="I46" s="149"/>
      <c r="J46" s="150">
        <v>0.58199999999999996</v>
      </c>
      <c r="K46" s="287"/>
      <c r="L46" s="287"/>
      <c r="M46" s="287"/>
      <c r="N46" s="287"/>
      <c r="O46" s="287"/>
      <c r="P46" s="292"/>
      <c r="Q46" s="145"/>
      <c r="R46" s="138"/>
      <c r="S46" s="145"/>
      <c r="T46" s="128"/>
      <c r="U46" s="128"/>
      <c r="V46" s="128"/>
      <c r="W46" s="128"/>
      <c r="X46" s="128"/>
    </row>
    <row r="47" spans="1:24" s="139" customFormat="1" ht="13.5" customHeight="1" x14ac:dyDescent="0.25">
      <c r="A47" s="128"/>
      <c r="B47" s="307"/>
      <c r="C47" s="287"/>
      <c r="D47" s="287"/>
      <c r="E47" s="287"/>
      <c r="F47" s="146" t="s">
        <v>78</v>
      </c>
      <c r="G47" s="147">
        <f>IF(E44&lt;0.125,"NA",IF(0.125&lt;=E44,(0.8*E44)))</f>
        <v>0.50640000000000007</v>
      </c>
      <c r="H47" s="148"/>
      <c r="I47" s="149"/>
      <c r="J47" s="150">
        <v>0.66400000000000003</v>
      </c>
      <c r="K47" s="287"/>
      <c r="L47" s="287"/>
      <c r="M47" s="287"/>
      <c r="N47" s="287"/>
      <c r="O47" s="287"/>
      <c r="P47" s="292"/>
      <c r="Q47" s="145"/>
      <c r="R47" s="145"/>
      <c r="S47" s="145"/>
      <c r="T47" s="128"/>
      <c r="U47" s="128"/>
      <c r="V47" s="128"/>
      <c r="W47" s="128"/>
      <c r="X47" s="128"/>
    </row>
    <row r="48" spans="1:24" s="139" customFormat="1" ht="13.5" customHeight="1" thickBot="1" x14ac:dyDescent="0.3">
      <c r="A48" s="128"/>
      <c r="B48" s="308"/>
      <c r="C48" s="288"/>
      <c r="D48" s="288"/>
      <c r="E48" s="288"/>
      <c r="F48" s="151" t="s">
        <v>79</v>
      </c>
      <c r="G48" s="152">
        <f>+E44</f>
        <v>0.63300000000000001</v>
      </c>
      <c r="H48" s="153"/>
      <c r="I48" s="154"/>
      <c r="J48" s="155">
        <v>0.78700000000000003</v>
      </c>
      <c r="K48" s="288"/>
      <c r="L48" s="288"/>
      <c r="M48" s="288"/>
      <c r="N48" s="288"/>
      <c r="O48" s="288"/>
      <c r="P48" s="293"/>
      <c r="Q48" s="145"/>
      <c r="R48" s="138"/>
      <c r="S48" s="145"/>
      <c r="T48" s="128"/>
      <c r="U48" s="128"/>
      <c r="V48" s="128"/>
      <c r="W48" s="128"/>
      <c r="X48" s="128"/>
    </row>
    <row r="49" spans="1:24" s="139" customFormat="1" ht="13.5" customHeight="1" x14ac:dyDescent="0.25">
      <c r="A49" s="128"/>
      <c r="B49" s="306">
        <v>7</v>
      </c>
      <c r="C49" s="309">
        <f>+C44+$N$12</f>
        <v>17.82</v>
      </c>
      <c r="D49" s="286">
        <v>0.67300000000000004</v>
      </c>
      <c r="E49" s="286">
        <v>0.60499999999999998</v>
      </c>
      <c r="F49" s="140" t="s">
        <v>75</v>
      </c>
      <c r="G49" s="141">
        <v>0</v>
      </c>
      <c r="H49" s="142"/>
      <c r="I49" s="143"/>
      <c r="J49" s="144">
        <v>0.39100000000000001</v>
      </c>
      <c r="K49" s="286">
        <f>+IF(E49&lt;=0.12,(J51),(IF(E49&lt;0.16,((J50+2*J51+J52)/4),IF(E49&gt;=0.16,((J49+3*J50+2*J51+3*J52+J53)/10)))))</f>
        <v>0.67579999999999996</v>
      </c>
      <c r="L49" s="286">
        <f>ROUND(+(D44+D49)/2*(C49-C44),3)</f>
        <v>1.3280000000000001</v>
      </c>
      <c r="M49" s="286">
        <f>ROUND(+K49*L49,4)</f>
        <v>0.89749999999999996</v>
      </c>
      <c r="N49" s="289">
        <f>ROUND(+M49/$M$108*100,2)</f>
        <v>9.58</v>
      </c>
      <c r="O49" s="290"/>
      <c r="P49" s="291"/>
      <c r="Q49" s="145"/>
      <c r="R49" s="138"/>
      <c r="T49" s="128"/>
      <c r="U49" s="128"/>
      <c r="V49" s="128"/>
      <c r="W49" s="128"/>
      <c r="X49" s="128"/>
    </row>
    <row r="50" spans="1:24" s="139" customFormat="1" ht="13.5" customHeight="1" x14ac:dyDescent="0.25">
      <c r="A50" s="128"/>
      <c r="B50" s="307"/>
      <c r="C50" s="287"/>
      <c r="D50" s="287"/>
      <c r="E50" s="287"/>
      <c r="F50" s="146" t="s">
        <v>76</v>
      </c>
      <c r="G50" s="147">
        <f>IF(E49&lt;0.125,"NA",IF(0.125&lt;=E49,(0.2*E49)))</f>
        <v>0.121</v>
      </c>
      <c r="H50" s="148"/>
      <c r="I50" s="149"/>
      <c r="J50" s="150">
        <v>0.54900000000000004</v>
      </c>
      <c r="K50" s="287"/>
      <c r="L50" s="287"/>
      <c r="M50" s="287"/>
      <c r="N50" s="287"/>
      <c r="O50" s="287"/>
      <c r="P50" s="292"/>
      <c r="Q50" s="145"/>
      <c r="R50" s="145"/>
      <c r="S50" s="145"/>
      <c r="T50" s="128"/>
      <c r="U50" s="128"/>
      <c r="V50" s="128"/>
      <c r="W50" s="128"/>
      <c r="X50" s="128"/>
    </row>
    <row r="51" spans="1:24" s="139" customFormat="1" ht="13.5" customHeight="1" x14ac:dyDescent="0.25">
      <c r="A51" s="128"/>
      <c r="B51" s="307"/>
      <c r="C51" s="287"/>
      <c r="D51" s="287"/>
      <c r="E51" s="287"/>
      <c r="F51" s="146" t="s">
        <v>77</v>
      </c>
      <c r="G51" s="147">
        <f>+E49*0.4</f>
        <v>0.24199999999999999</v>
      </c>
      <c r="H51" s="148"/>
      <c r="I51" s="149"/>
      <c r="J51" s="150">
        <v>0.745</v>
      </c>
      <c r="K51" s="287"/>
      <c r="L51" s="287"/>
      <c r="M51" s="287"/>
      <c r="N51" s="287"/>
      <c r="O51" s="287"/>
      <c r="P51" s="292"/>
      <c r="Q51" s="145"/>
      <c r="R51" s="138"/>
      <c r="S51" s="145"/>
      <c r="T51" s="128"/>
      <c r="U51" s="128"/>
      <c r="V51" s="128"/>
      <c r="W51" s="128"/>
      <c r="X51" s="128"/>
    </row>
    <row r="52" spans="1:24" s="139" customFormat="1" ht="13.5" customHeight="1" x14ac:dyDescent="0.25">
      <c r="A52" s="128"/>
      <c r="B52" s="307"/>
      <c r="C52" s="287"/>
      <c r="D52" s="287"/>
      <c r="E52" s="287"/>
      <c r="F52" s="146" t="s">
        <v>78</v>
      </c>
      <c r="G52" s="147">
        <f>IF(E49&lt;0.125,"NA",IF(0.125&lt;=E49,(0.8*E49)))</f>
        <v>0.48399999999999999</v>
      </c>
      <c r="H52" s="148"/>
      <c r="I52" s="149"/>
      <c r="J52" s="150">
        <v>0.81100000000000005</v>
      </c>
      <c r="K52" s="287"/>
      <c r="L52" s="287"/>
      <c r="M52" s="287"/>
      <c r="N52" s="287"/>
      <c r="O52" s="287"/>
      <c r="P52" s="292"/>
      <c r="Q52" s="145"/>
      <c r="R52" s="145"/>
      <c r="S52" s="145"/>
      <c r="T52" s="128"/>
      <c r="U52" s="128"/>
      <c r="V52" s="128"/>
      <c r="W52" s="128"/>
      <c r="X52" s="128"/>
    </row>
    <row r="53" spans="1:24" s="139" customFormat="1" ht="13.5" customHeight="1" thickBot="1" x14ac:dyDescent="0.3">
      <c r="A53" s="128"/>
      <c r="B53" s="308"/>
      <c r="C53" s="288"/>
      <c r="D53" s="288"/>
      <c r="E53" s="288"/>
      <c r="F53" s="151" t="s">
        <v>79</v>
      </c>
      <c r="G53" s="152">
        <f>+E49</f>
        <v>0.60499999999999998</v>
      </c>
      <c r="H53" s="153"/>
      <c r="I53" s="154"/>
      <c r="J53" s="155">
        <v>0.79700000000000004</v>
      </c>
      <c r="K53" s="288"/>
      <c r="L53" s="288"/>
      <c r="M53" s="288"/>
      <c r="N53" s="288"/>
      <c r="O53" s="288"/>
      <c r="P53" s="293"/>
      <c r="Q53" s="145"/>
      <c r="R53" s="138"/>
      <c r="S53" s="145"/>
      <c r="T53" s="128"/>
      <c r="U53" s="128"/>
      <c r="V53" s="128"/>
      <c r="W53" s="128"/>
      <c r="X53" s="128"/>
    </row>
    <row r="54" spans="1:24" s="139" customFormat="1" ht="13.5" customHeight="1" x14ac:dyDescent="0.25">
      <c r="A54" s="128"/>
      <c r="B54" s="306">
        <v>8</v>
      </c>
      <c r="C54" s="309">
        <f>+C49+$N$12</f>
        <v>19.82</v>
      </c>
      <c r="D54" s="286">
        <v>0.64100000000000001</v>
      </c>
      <c r="E54" s="286">
        <v>0.7</v>
      </c>
      <c r="F54" s="140" t="s">
        <v>75</v>
      </c>
      <c r="G54" s="141">
        <v>0</v>
      </c>
      <c r="H54" s="142"/>
      <c r="I54" s="143"/>
      <c r="J54" s="144">
        <v>0.40899999999999997</v>
      </c>
      <c r="K54" s="286">
        <f>+IF(E54&lt;=0.12,(J56),(IF(E54&lt;0.16,((J55+2*J56+J57)/4),IF(E54&gt;=0.16,((J54+3*J55+2*J56+3*J57+J58)/10)))))</f>
        <v>0.82100000000000006</v>
      </c>
      <c r="L54" s="286">
        <f>ROUND(+(D49+D54)/2*(C54-C49),3)</f>
        <v>1.3140000000000001</v>
      </c>
      <c r="M54" s="286">
        <f>ROUND(+K54*L54,4)</f>
        <v>1.0788</v>
      </c>
      <c r="N54" s="289">
        <f>ROUND(+M54/$M$108*100,2)</f>
        <v>11.52</v>
      </c>
      <c r="O54" s="290"/>
      <c r="P54" s="291"/>
      <c r="Q54" s="145"/>
      <c r="R54" s="138"/>
      <c r="T54" s="128"/>
      <c r="U54" s="128"/>
      <c r="V54" s="128"/>
      <c r="W54" s="128"/>
      <c r="X54" s="128"/>
    </row>
    <row r="55" spans="1:24" s="139" customFormat="1" ht="13.5" customHeight="1" x14ac:dyDescent="0.25">
      <c r="A55" s="128"/>
      <c r="B55" s="307"/>
      <c r="C55" s="287"/>
      <c r="D55" s="287"/>
      <c r="E55" s="287"/>
      <c r="F55" s="146" t="s">
        <v>76</v>
      </c>
      <c r="G55" s="147">
        <f>IF(E54&lt;0.125,"NA",IF(0.125&lt;=E54,(0.2*E54)))</f>
        <v>0.13999999999999999</v>
      </c>
      <c r="H55" s="148"/>
      <c r="I55" s="149"/>
      <c r="J55" s="150">
        <v>0.72499999999999998</v>
      </c>
      <c r="K55" s="287"/>
      <c r="L55" s="287"/>
      <c r="M55" s="287"/>
      <c r="N55" s="287"/>
      <c r="O55" s="287"/>
      <c r="P55" s="292"/>
      <c r="Q55" s="145"/>
      <c r="R55" s="145"/>
      <c r="S55" s="145"/>
      <c r="T55" s="128"/>
      <c r="U55" s="128"/>
      <c r="V55" s="128"/>
      <c r="W55" s="128"/>
      <c r="X55" s="128"/>
    </row>
    <row r="56" spans="1:24" s="139" customFormat="1" ht="13.5" customHeight="1" x14ac:dyDescent="0.25">
      <c r="A56" s="128"/>
      <c r="B56" s="307"/>
      <c r="C56" s="287"/>
      <c r="D56" s="287"/>
      <c r="E56" s="287"/>
      <c r="F56" s="146" t="s">
        <v>77</v>
      </c>
      <c r="G56" s="147">
        <f>+E54*0.4</f>
        <v>0.27999999999999997</v>
      </c>
      <c r="H56" s="148"/>
      <c r="I56" s="149"/>
      <c r="J56" s="150">
        <v>0.82199999999999995</v>
      </c>
      <c r="K56" s="287"/>
      <c r="L56" s="287"/>
      <c r="M56" s="287"/>
      <c r="N56" s="287"/>
      <c r="O56" s="287"/>
      <c r="P56" s="292"/>
      <c r="Q56" s="145"/>
      <c r="R56" s="138"/>
      <c r="S56" s="145"/>
      <c r="T56" s="128"/>
      <c r="U56" s="128"/>
      <c r="V56" s="128"/>
      <c r="W56" s="128"/>
      <c r="X56" s="128"/>
    </row>
    <row r="57" spans="1:24" s="139" customFormat="1" ht="13.5" customHeight="1" x14ac:dyDescent="0.25">
      <c r="A57" s="128"/>
      <c r="B57" s="307"/>
      <c r="C57" s="287"/>
      <c r="D57" s="287"/>
      <c r="E57" s="287"/>
      <c r="F57" s="146" t="s">
        <v>78</v>
      </c>
      <c r="G57" s="147">
        <f>IF(E54&lt;0.125,"NA",IF(0.125&lt;=E54,(0.8*E54)))</f>
        <v>0.55999999999999994</v>
      </c>
      <c r="H57" s="148"/>
      <c r="I57" s="149"/>
      <c r="J57" s="150">
        <v>1.004</v>
      </c>
      <c r="K57" s="287"/>
      <c r="L57" s="287"/>
      <c r="M57" s="287"/>
      <c r="N57" s="287"/>
      <c r="O57" s="287"/>
      <c r="P57" s="292"/>
      <c r="Q57" s="145"/>
      <c r="R57" s="145"/>
      <c r="S57" s="145"/>
      <c r="T57" s="128"/>
      <c r="U57" s="128"/>
      <c r="V57" s="128"/>
      <c r="W57" s="128"/>
      <c r="X57" s="128"/>
    </row>
    <row r="58" spans="1:24" s="139" customFormat="1" ht="13.5" customHeight="1" thickBot="1" x14ac:dyDescent="0.3">
      <c r="A58" s="128"/>
      <c r="B58" s="308"/>
      <c r="C58" s="288"/>
      <c r="D58" s="288"/>
      <c r="E58" s="288"/>
      <c r="F58" s="151" t="s">
        <v>79</v>
      </c>
      <c r="G58" s="152">
        <f>+E54</f>
        <v>0.7</v>
      </c>
      <c r="H58" s="153"/>
      <c r="I58" s="154"/>
      <c r="J58" s="155">
        <v>0.97</v>
      </c>
      <c r="K58" s="288"/>
      <c r="L58" s="288"/>
      <c r="M58" s="288"/>
      <c r="N58" s="288"/>
      <c r="O58" s="288"/>
      <c r="P58" s="293"/>
      <c r="Q58" s="145"/>
      <c r="R58" s="138"/>
      <c r="S58" s="145"/>
      <c r="T58" s="128"/>
      <c r="U58" s="128"/>
      <c r="V58" s="128"/>
      <c r="W58" s="128"/>
      <c r="X58" s="128"/>
    </row>
    <row r="59" spans="1:24" s="139" customFormat="1" ht="13.5" customHeight="1" x14ac:dyDescent="0.25">
      <c r="A59" s="128"/>
      <c r="B59" s="306">
        <v>9</v>
      </c>
      <c r="C59" s="309">
        <f>+C54+$N$12</f>
        <v>21.82</v>
      </c>
      <c r="D59" s="286">
        <v>0.69499999999999995</v>
      </c>
      <c r="E59" s="286">
        <v>0.66100000000000003</v>
      </c>
      <c r="F59" s="140" t="s">
        <v>75</v>
      </c>
      <c r="G59" s="141">
        <v>0</v>
      </c>
      <c r="H59" s="142"/>
      <c r="I59" s="143"/>
      <c r="J59" s="144">
        <v>0.64200000000000002</v>
      </c>
      <c r="K59" s="286">
        <f>+IF(E59&lt;=0.12,(J61),(IF(E59&lt;0.16,((J60+2*J61+J62)/4),IF(E59&gt;=0.16,((J59+3*J60+2*J61+3*J62+J63)/10)))))</f>
        <v>0.82590000000000008</v>
      </c>
      <c r="L59" s="286">
        <f>ROUND(+(D54+D59)/2*(C59-C54),3)</f>
        <v>1.3360000000000001</v>
      </c>
      <c r="M59" s="286">
        <f>ROUND(+K59*L59,4)</f>
        <v>1.1033999999999999</v>
      </c>
      <c r="N59" s="289">
        <f>ROUND(+M59/$M$108*100,2)</f>
        <v>11.78</v>
      </c>
      <c r="O59" s="290"/>
      <c r="P59" s="291"/>
      <c r="Q59" s="145"/>
      <c r="R59" s="138"/>
      <c r="T59" s="128"/>
      <c r="U59" s="128"/>
      <c r="V59" s="128"/>
      <c r="W59" s="128"/>
      <c r="X59" s="128"/>
    </row>
    <row r="60" spans="1:24" s="139" customFormat="1" ht="13.5" customHeight="1" x14ac:dyDescent="0.25">
      <c r="A60" s="128"/>
      <c r="B60" s="307"/>
      <c r="C60" s="287"/>
      <c r="D60" s="287"/>
      <c r="E60" s="287"/>
      <c r="F60" s="146" t="s">
        <v>76</v>
      </c>
      <c r="G60" s="147">
        <f>IF(E59&lt;0.125,"NA",IF(0.125&lt;=E59,(0.2*E59)))</f>
        <v>0.13220000000000001</v>
      </c>
      <c r="H60" s="148"/>
      <c r="I60" s="149"/>
      <c r="J60" s="150">
        <v>0.78900000000000003</v>
      </c>
      <c r="K60" s="287"/>
      <c r="L60" s="287"/>
      <c r="M60" s="287"/>
      <c r="N60" s="287"/>
      <c r="O60" s="287"/>
      <c r="P60" s="292"/>
      <c r="Q60" s="145"/>
      <c r="R60" s="145"/>
      <c r="S60" s="145"/>
      <c r="T60" s="128"/>
      <c r="U60" s="128"/>
      <c r="V60" s="128"/>
      <c r="W60" s="128"/>
      <c r="X60" s="128"/>
    </row>
    <row r="61" spans="1:24" s="139" customFormat="1" ht="13.5" customHeight="1" x14ac:dyDescent="0.25">
      <c r="A61" s="128"/>
      <c r="B61" s="307"/>
      <c r="C61" s="287"/>
      <c r="D61" s="287"/>
      <c r="E61" s="287"/>
      <c r="F61" s="146" t="s">
        <v>77</v>
      </c>
      <c r="G61" s="147">
        <f>+E59*0.4</f>
        <v>0.26440000000000002</v>
      </c>
      <c r="H61" s="148"/>
      <c r="I61" s="149"/>
      <c r="J61" s="150">
        <v>0.91100000000000003</v>
      </c>
      <c r="K61" s="287"/>
      <c r="L61" s="287"/>
      <c r="M61" s="287"/>
      <c r="N61" s="287"/>
      <c r="O61" s="287"/>
      <c r="P61" s="292"/>
      <c r="Q61" s="145"/>
      <c r="R61" s="138"/>
      <c r="S61" s="145"/>
      <c r="T61" s="128"/>
      <c r="U61" s="128"/>
      <c r="V61" s="128"/>
      <c r="W61" s="128"/>
      <c r="X61" s="128"/>
    </row>
    <row r="62" spans="1:24" s="139" customFormat="1" ht="13.5" customHeight="1" x14ac:dyDescent="0.25">
      <c r="A62" s="128"/>
      <c r="B62" s="307"/>
      <c r="C62" s="287"/>
      <c r="D62" s="287"/>
      <c r="E62" s="287"/>
      <c r="F62" s="146" t="s">
        <v>78</v>
      </c>
      <c r="G62" s="147">
        <f>IF(E59&lt;0.125,"NA",IF(0.125&lt;=E59,(0.8*E59)))</f>
        <v>0.52880000000000005</v>
      </c>
      <c r="H62" s="148"/>
      <c r="I62" s="149"/>
      <c r="J62" s="150">
        <v>0.878</v>
      </c>
      <c r="K62" s="287"/>
      <c r="L62" s="287"/>
      <c r="M62" s="287"/>
      <c r="N62" s="287"/>
      <c r="O62" s="287"/>
      <c r="P62" s="292"/>
      <c r="Q62" s="145"/>
      <c r="R62" s="145"/>
      <c r="S62" s="145"/>
      <c r="T62" s="128"/>
      <c r="U62" s="128"/>
      <c r="V62" s="128"/>
      <c r="W62" s="128"/>
      <c r="X62" s="128"/>
    </row>
    <row r="63" spans="1:24" s="139" customFormat="1" ht="13.5" customHeight="1" thickBot="1" x14ac:dyDescent="0.3">
      <c r="A63" s="128"/>
      <c r="B63" s="308"/>
      <c r="C63" s="288"/>
      <c r="D63" s="288"/>
      <c r="E63" s="288"/>
      <c r="F63" s="151" t="s">
        <v>79</v>
      </c>
      <c r="G63" s="152">
        <f>+E59</f>
        <v>0.66100000000000003</v>
      </c>
      <c r="H63" s="153"/>
      <c r="I63" s="154"/>
      <c r="J63" s="155">
        <v>0.79400000000000004</v>
      </c>
      <c r="K63" s="288"/>
      <c r="L63" s="288"/>
      <c r="M63" s="288"/>
      <c r="N63" s="288"/>
      <c r="O63" s="288"/>
      <c r="P63" s="293"/>
      <c r="Q63" s="145"/>
      <c r="R63" s="138"/>
      <c r="S63" s="145"/>
      <c r="T63" s="128"/>
      <c r="U63" s="128"/>
      <c r="V63" s="128"/>
      <c r="W63" s="128"/>
      <c r="X63" s="128"/>
    </row>
    <row r="64" spans="1:24" s="139" customFormat="1" ht="13.5" customHeight="1" x14ac:dyDescent="0.25">
      <c r="A64" s="128"/>
      <c r="B64" s="306">
        <v>10</v>
      </c>
      <c r="C64" s="309">
        <f>+C59+$N$12</f>
        <v>23.82</v>
      </c>
      <c r="D64" s="286">
        <v>0.753</v>
      </c>
      <c r="E64" s="286">
        <v>0.71</v>
      </c>
      <c r="F64" s="140" t="s">
        <v>75</v>
      </c>
      <c r="G64" s="141">
        <v>0</v>
      </c>
      <c r="H64" s="142"/>
      <c r="I64" s="143"/>
      <c r="J64" s="144">
        <v>0.48</v>
      </c>
      <c r="K64" s="286">
        <f>+IF(E64&lt;=0.12,(J66),(IF(E64&lt;0.16,((J65+2*J66+J67)/4),IF(E64&gt;=0.16,((J64+3*J65+2*J66+3*J67+J68)/10)))))</f>
        <v>0.61910000000000009</v>
      </c>
      <c r="L64" s="286">
        <f>ROUND(+(D59+D64)/2*(C64-C59),3)</f>
        <v>1.448</v>
      </c>
      <c r="M64" s="286">
        <f>ROUND(+K64*L64,4)</f>
        <v>0.89649999999999996</v>
      </c>
      <c r="N64" s="289">
        <f>ROUND(+M64/$M$108*100,2)</f>
        <v>9.57</v>
      </c>
      <c r="O64" s="290"/>
      <c r="P64" s="291"/>
      <c r="Q64" s="145"/>
      <c r="R64" s="138"/>
      <c r="T64" s="128"/>
      <c r="U64" s="128"/>
      <c r="V64" s="128"/>
      <c r="W64" s="128"/>
      <c r="X64" s="128"/>
    </row>
    <row r="65" spans="1:24" s="139" customFormat="1" ht="13.5" customHeight="1" x14ac:dyDescent="0.25">
      <c r="A65" s="128"/>
      <c r="B65" s="307"/>
      <c r="C65" s="287"/>
      <c r="D65" s="287"/>
      <c r="E65" s="287"/>
      <c r="F65" s="146" t="s">
        <v>76</v>
      </c>
      <c r="G65" s="147">
        <f>IF(E64&lt;0.125,"NA",IF(0.125&lt;=E64,(0.2*E64)))</f>
        <v>0.14199999999999999</v>
      </c>
      <c r="H65" s="148"/>
      <c r="I65" s="149"/>
      <c r="J65" s="150">
        <v>0.61799999999999999</v>
      </c>
      <c r="K65" s="287"/>
      <c r="L65" s="287"/>
      <c r="M65" s="287"/>
      <c r="N65" s="287"/>
      <c r="O65" s="287"/>
      <c r="P65" s="292"/>
      <c r="Q65" s="145"/>
      <c r="R65" s="145"/>
      <c r="S65" s="145"/>
      <c r="T65" s="128"/>
      <c r="U65" s="128"/>
      <c r="V65" s="128"/>
      <c r="W65" s="128"/>
      <c r="X65" s="128"/>
    </row>
    <row r="66" spans="1:24" s="139" customFormat="1" ht="13.5" customHeight="1" x14ac:dyDescent="0.25">
      <c r="A66" s="128"/>
      <c r="B66" s="307"/>
      <c r="C66" s="287"/>
      <c r="D66" s="287"/>
      <c r="E66" s="287"/>
      <c r="F66" s="146" t="s">
        <v>77</v>
      </c>
      <c r="G66" s="147">
        <f>+E64*0.4</f>
        <v>0.28399999999999997</v>
      </c>
      <c r="H66" s="148"/>
      <c r="I66" s="149"/>
      <c r="J66" s="150">
        <v>0.70299999999999996</v>
      </c>
      <c r="K66" s="287"/>
      <c r="L66" s="287"/>
      <c r="M66" s="287"/>
      <c r="N66" s="287"/>
      <c r="O66" s="287"/>
      <c r="P66" s="292"/>
      <c r="Q66" s="145"/>
      <c r="R66" s="138"/>
      <c r="S66" s="145"/>
      <c r="T66" s="128"/>
      <c r="U66" s="128"/>
      <c r="V66" s="128"/>
      <c r="W66" s="128"/>
      <c r="X66" s="128"/>
    </row>
    <row r="67" spans="1:24" s="139" customFormat="1" ht="13.5" customHeight="1" x14ac:dyDescent="0.25">
      <c r="A67" s="128"/>
      <c r="B67" s="307"/>
      <c r="C67" s="287"/>
      <c r="D67" s="287"/>
      <c r="E67" s="287"/>
      <c r="F67" s="146" t="s">
        <v>78</v>
      </c>
      <c r="G67" s="147">
        <f>IF(E64&lt;0.125,"NA",IF(0.125&lt;=E64,(0.8*E64)))</f>
        <v>0.56799999999999995</v>
      </c>
      <c r="H67" s="148"/>
      <c r="I67" s="149"/>
      <c r="J67" s="150">
        <v>0.61899999999999999</v>
      </c>
      <c r="K67" s="287"/>
      <c r="L67" s="287"/>
      <c r="M67" s="287"/>
      <c r="N67" s="287"/>
      <c r="O67" s="287"/>
      <c r="P67" s="292"/>
      <c r="Q67" s="145"/>
      <c r="R67" s="145"/>
      <c r="S67" s="145"/>
      <c r="T67" s="128"/>
      <c r="U67" s="128"/>
      <c r="V67" s="128"/>
      <c r="W67" s="128"/>
      <c r="X67" s="128"/>
    </row>
    <row r="68" spans="1:24" s="139" customFormat="1" ht="13.5" customHeight="1" thickBot="1" x14ac:dyDescent="0.3">
      <c r="A68" s="128"/>
      <c r="B68" s="308"/>
      <c r="C68" s="288"/>
      <c r="D68" s="288"/>
      <c r="E68" s="288"/>
      <c r="F68" s="151" t="s">
        <v>79</v>
      </c>
      <c r="G68" s="152">
        <f>+E64</f>
        <v>0.71</v>
      </c>
      <c r="H68" s="153"/>
      <c r="I68" s="154"/>
      <c r="J68" s="155">
        <v>0.59399999999999997</v>
      </c>
      <c r="K68" s="288"/>
      <c r="L68" s="288"/>
      <c r="M68" s="288"/>
      <c r="N68" s="288"/>
      <c r="O68" s="288"/>
      <c r="P68" s="293"/>
      <c r="Q68" s="145"/>
      <c r="R68" s="138"/>
      <c r="S68" s="145"/>
      <c r="T68" s="128"/>
      <c r="U68" s="128"/>
      <c r="V68" s="128"/>
      <c r="W68" s="128"/>
      <c r="X68" s="128"/>
    </row>
    <row r="69" spans="1:24" s="139" customFormat="1" ht="13.5" customHeight="1" x14ac:dyDescent="0.25">
      <c r="A69" s="128"/>
      <c r="B69" s="306">
        <v>11</v>
      </c>
      <c r="C69" s="309">
        <f>+C64+$N$12</f>
        <v>25.82</v>
      </c>
      <c r="D69" s="286">
        <v>0.92500000000000004</v>
      </c>
      <c r="E69" s="286">
        <v>0.82499999999999996</v>
      </c>
      <c r="F69" s="140" t="s">
        <v>75</v>
      </c>
      <c r="G69" s="141">
        <v>0</v>
      </c>
      <c r="H69" s="142"/>
      <c r="I69" s="143"/>
      <c r="J69" s="144">
        <v>0.217</v>
      </c>
      <c r="K69" s="286">
        <f>+IF(E69&lt;=0.12,(J71),(IF(E69&lt;0.16,((J70+2*J71+J72)/4),IF(E69&gt;=0.16,((J69+3*J70+2*J71+3*J72+J73)/10)))))</f>
        <v>0.47649999999999998</v>
      </c>
      <c r="L69" s="286">
        <f>ROUND(+(D64+D69)/2*(C69-C64),3)</f>
        <v>1.6779999999999999</v>
      </c>
      <c r="M69" s="286">
        <f>ROUND(+K69*L69,4)</f>
        <v>0.79959999999999998</v>
      </c>
      <c r="N69" s="289">
        <f>ROUND(+M69/$M$108*100,2)</f>
        <v>8.5399999999999991</v>
      </c>
      <c r="O69" s="290"/>
      <c r="P69" s="291"/>
      <c r="Q69" s="145"/>
      <c r="R69" s="138"/>
      <c r="T69" s="128"/>
      <c r="U69" s="128"/>
      <c r="V69" s="128"/>
      <c r="W69" s="128"/>
      <c r="X69" s="128"/>
    </row>
    <row r="70" spans="1:24" s="139" customFormat="1" ht="13.5" customHeight="1" x14ac:dyDescent="0.25">
      <c r="A70" s="128"/>
      <c r="B70" s="307"/>
      <c r="C70" s="287"/>
      <c r="D70" s="287"/>
      <c r="E70" s="287"/>
      <c r="F70" s="146" t="s">
        <v>76</v>
      </c>
      <c r="G70" s="147">
        <f>IF(E69&lt;0.125,"NA",IF(0.125&lt;=E69,(0.2*E69)))</f>
        <v>0.16500000000000001</v>
      </c>
      <c r="H70" s="148"/>
      <c r="I70" s="149"/>
      <c r="J70" s="150">
        <v>0.48299999999999998</v>
      </c>
      <c r="K70" s="287"/>
      <c r="L70" s="287"/>
      <c r="M70" s="287"/>
      <c r="N70" s="287"/>
      <c r="O70" s="287"/>
      <c r="P70" s="292"/>
      <c r="Q70" s="145"/>
      <c r="R70" s="145"/>
      <c r="S70" s="145"/>
      <c r="T70" s="128"/>
      <c r="U70" s="128"/>
      <c r="V70" s="128"/>
      <c r="W70" s="128"/>
      <c r="X70" s="128"/>
    </row>
    <row r="71" spans="1:24" s="139" customFormat="1" ht="13.5" customHeight="1" x14ac:dyDescent="0.25">
      <c r="A71" s="128"/>
      <c r="B71" s="307"/>
      <c r="C71" s="287"/>
      <c r="D71" s="287"/>
      <c r="E71" s="287"/>
      <c r="F71" s="146" t="s">
        <v>77</v>
      </c>
      <c r="G71" s="147">
        <f>+E69*0.4</f>
        <v>0.33</v>
      </c>
      <c r="H71" s="148"/>
      <c r="I71" s="149"/>
      <c r="J71" s="150">
        <v>0.53400000000000003</v>
      </c>
      <c r="K71" s="287"/>
      <c r="L71" s="287"/>
      <c r="M71" s="287"/>
      <c r="N71" s="287"/>
      <c r="O71" s="287"/>
      <c r="P71" s="292"/>
      <c r="Q71" s="145"/>
      <c r="R71" s="138"/>
      <c r="S71" s="145"/>
      <c r="T71" s="128"/>
      <c r="U71" s="128"/>
      <c r="V71" s="128"/>
      <c r="W71" s="128"/>
      <c r="X71" s="128"/>
    </row>
    <row r="72" spans="1:24" s="139" customFormat="1" ht="13.5" customHeight="1" x14ac:dyDescent="0.25">
      <c r="A72" s="128"/>
      <c r="B72" s="307"/>
      <c r="C72" s="287"/>
      <c r="D72" s="287"/>
      <c r="E72" s="287"/>
      <c r="F72" s="146" t="s">
        <v>78</v>
      </c>
      <c r="G72" s="147">
        <f>IF(E69&lt;0.125,"NA",IF(0.125&lt;=E69,(0.8*E69)))</f>
        <v>0.66</v>
      </c>
      <c r="H72" s="148"/>
      <c r="I72" s="149"/>
      <c r="J72" s="150">
        <v>0.51100000000000001</v>
      </c>
      <c r="K72" s="287"/>
      <c r="L72" s="287"/>
      <c r="M72" s="287"/>
      <c r="N72" s="287"/>
      <c r="O72" s="287"/>
      <c r="P72" s="292"/>
      <c r="Q72" s="145"/>
      <c r="R72" s="145"/>
      <c r="S72" s="145"/>
      <c r="T72" s="128"/>
      <c r="U72" s="128"/>
      <c r="V72" s="128"/>
      <c r="W72" s="128"/>
      <c r="X72" s="128"/>
    </row>
    <row r="73" spans="1:24" s="139" customFormat="1" ht="13.5" customHeight="1" thickBot="1" x14ac:dyDescent="0.3">
      <c r="A73" s="128"/>
      <c r="B73" s="308"/>
      <c r="C73" s="288"/>
      <c r="D73" s="288"/>
      <c r="E73" s="288"/>
      <c r="F73" s="151" t="s">
        <v>79</v>
      </c>
      <c r="G73" s="152">
        <f>+E69</f>
        <v>0.82499999999999996</v>
      </c>
      <c r="H73" s="153"/>
      <c r="I73" s="154"/>
      <c r="J73" s="155">
        <v>0.498</v>
      </c>
      <c r="K73" s="288"/>
      <c r="L73" s="288"/>
      <c r="M73" s="288"/>
      <c r="N73" s="288"/>
      <c r="O73" s="288"/>
      <c r="P73" s="293"/>
      <c r="Q73" s="145"/>
      <c r="R73" s="138"/>
      <c r="S73" s="145"/>
      <c r="T73" s="128"/>
      <c r="U73" s="128"/>
      <c r="V73" s="128"/>
      <c r="W73" s="128"/>
      <c r="X73" s="128"/>
    </row>
    <row r="74" spans="1:24" s="139" customFormat="1" ht="13.5" customHeight="1" x14ac:dyDescent="0.25">
      <c r="A74" s="128"/>
      <c r="B74" s="306">
        <v>12</v>
      </c>
      <c r="C74" s="309">
        <f>+C69+$N$12</f>
        <v>27.82</v>
      </c>
      <c r="D74" s="286">
        <v>1.107</v>
      </c>
      <c r="E74" s="286">
        <v>1.056</v>
      </c>
      <c r="F74" s="140" t="s">
        <v>75</v>
      </c>
      <c r="G74" s="141">
        <v>0</v>
      </c>
      <c r="H74" s="142"/>
      <c r="I74" s="143"/>
      <c r="J74" s="144">
        <v>0.23899999999999999</v>
      </c>
      <c r="K74" s="286">
        <f>+IF(E74&lt;=0.12,(J76),(IF(E74&lt;0.16,((J75+2*J76+J77)/4),IF(E74&gt;=0.16,((J74+3*J75+2*J76+3*J77+J78)/10)))))</f>
        <v>0.34850000000000003</v>
      </c>
      <c r="L74" s="286">
        <f>ROUND(+(D69+D74)/2*(C74-C69),3)</f>
        <v>2.032</v>
      </c>
      <c r="M74" s="286">
        <f>ROUND(+K74*L74,4)</f>
        <v>0.70820000000000005</v>
      </c>
      <c r="N74" s="289">
        <f>ROUND(+M74/$M$108*100,2)</f>
        <v>7.56</v>
      </c>
      <c r="O74" s="290"/>
      <c r="P74" s="291"/>
      <c r="Q74" s="145"/>
      <c r="R74" s="138"/>
      <c r="T74" s="128"/>
      <c r="U74" s="128"/>
      <c r="V74" s="128"/>
      <c r="W74" s="128"/>
      <c r="X74" s="128"/>
    </row>
    <row r="75" spans="1:24" s="139" customFormat="1" ht="13.5" customHeight="1" x14ac:dyDescent="0.25">
      <c r="A75" s="128"/>
      <c r="B75" s="307"/>
      <c r="C75" s="287"/>
      <c r="D75" s="287"/>
      <c r="E75" s="287"/>
      <c r="F75" s="146" t="s">
        <v>76</v>
      </c>
      <c r="G75" s="147">
        <f>IF(E74&lt;0.125,"NA",IF(0.125&lt;=E74,(0.2*E74)))</f>
        <v>0.21120000000000003</v>
      </c>
      <c r="H75" s="148"/>
      <c r="I75" s="149"/>
      <c r="J75" s="150">
        <v>0.32300000000000001</v>
      </c>
      <c r="K75" s="287"/>
      <c r="L75" s="287"/>
      <c r="M75" s="287"/>
      <c r="N75" s="287"/>
      <c r="O75" s="287"/>
      <c r="P75" s="292"/>
      <c r="Q75" s="145"/>
      <c r="R75" s="145"/>
      <c r="S75" s="145"/>
      <c r="T75" s="128"/>
      <c r="U75" s="128"/>
      <c r="V75" s="128"/>
      <c r="W75" s="128"/>
      <c r="X75" s="128"/>
    </row>
    <row r="76" spans="1:24" s="139" customFormat="1" ht="13.5" customHeight="1" x14ac:dyDescent="0.25">
      <c r="A76" s="128"/>
      <c r="B76" s="307"/>
      <c r="C76" s="287"/>
      <c r="D76" s="287"/>
      <c r="E76" s="287"/>
      <c r="F76" s="146" t="s">
        <v>77</v>
      </c>
      <c r="G76" s="147">
        <f>+E74*0.4</f>
        <v>0.42240000000000005</v>
      </c>
      <c r="H76" s="148"/>
      <c r="I76" s="149"/>
      <c r="J76" s="150">
        <v>0.371</v>
      </c>
      <c r="K76" s="287"/>
      <c r="L76" s="287"/>
      <c r="M76" s="287"/>
      <c r="N76" s="287"/>
      <c r="O76" s="287"/>
      <c r="P76" s="292"/>
      <c r="Q76" s="145"/>
      <c r="R76" s="138"/>
      <c r="S76" s="145"/>
      <c r="T76" s="128"/>
      <c r="U76" s="128"/>
      <c r="V76" s="128"/>
      <c r="W76" s="128"/>
      <c r="X76" s="128"/>
    </row>
    <row r="77" spans="1:24" s="139" customFormat="1" ht="13.5" customHeight="1" x14ac:dyDescent="0.25">
      <c r="A77" s="128"/>
      <c r="B77" s="307"/>
      <c r="C77" s="287"/>
      <c r="D77" s="287"/>
      <c r="E77" s="287"/>
      <c r="F77" s="146" t="s">
        <v>78</v>
      </c>
      <c r="G77" s="147">
        <f>IF(E74&lt;0.125,"NA",IF(0.125&lt;=E74,(0.8*E74)))</f>
        <v>0.84480000000000011</v>
      </c>
      <c r="H77" s="148"/>
      <c r="I77" s="149"/>
      <c r="J77" s="150">
        <v>0.38800000000000001</v>
      </c>
      <c r="K77" s="287"/>
      <c r="L77" s="287"/>
      <c r="M77" s="287"/>
      <c r="N77" s="287"/>
      <c r="O77" s="287"/>
      <c r="P77" s="292"/>
      <c r="Q77" s="145"/>
      <c r="R77" s="145"/>
      <c r="S77" s="145"/>
      <c r="T77" s="128"/>
      <c r="U77" s="128"/>
      <c r="V77" s="128"/>
      <c r="W77" s="128"/>
      <c r="X77" s="128"/>
    </row>
    <row r="78" spans="1:24" s="139" customFormat="1" ht="13.5" customHeight="1" thickBot="1" x14ac:dyDescent="0.3">
      <c r="A78" s="128"/>
      <c r="B78" s="308"/>
      <c r="C78" s="288"/>
      <c r="D78" s="288"/>
      <c r="E78" s="288"/>
      <c r="F78" s="151" t="s">
        <v>79</v>
      </c>
      <c r="G78" s="152">
        <f>+E74</f>
        <v>1.056</v>
      </c>
      <c r="H78" s="153"/>
      <c r="I78" s="154"/>
      <c r="J78" s="155">
        <v>0.371</v>
      </c>
      <c r="K78" s="288"/>
      <c r="L78" s="288"/>
      <c r="M78" s="288"/>
      <c r="N78" s="288"/>
      <c r="O78" s="288"/>
      <c r="P78" s="293"/>
      <c r="Q78" s="145"/>
      <c r="R78" s="138"/>
      <c r="S78" s="145"/>
      <c r="T78" s="128"/>
      <c r="U78" s="128"/>
      <c r="V78" s="128"/>
      <c r="W78" s="128"/>
      <c r="X78" s="128"/>
    </row>
    <row r="79" spans="1:24" s="139" customFormat="1" ht="13.5" customHeight="1" x14ac:dyDescent="0.25">
      <c r="A79" s="128"/>
      <c r="B79" s="306">
        <v>13</v>
      </c>
      <c r="C79" s="309">
        <f>+C74+$N$12</f>
        <v>29.82</v>
      </c>
      <c r="D79" s="286">
        <v>1</v>
      </c>
      <c r="E79" s="286">
        <v>1.145</v>
      </c>
      <c r="F79" s="140" t="s">
        <v>75</v>
      </c>
      <c r="G79" s="141">
        <v>0</v>
      </c>
      <c r="H79" s="142"/>
      <c r="I79" s="143"/>
      <c r="J79" s="144"/>
      <c r="K79" s="286"/>
      <c r="L79" s="286"/>
      <c r="M79" s="286"/>
      <c r="N79" s="289"/>
      <c r="O79" s="290"/>
      <c r="P79" s="291"/>
      <c r="Q79" s="145"/>
      <c r="R79" s="138"/>
      <c r="T79" s="128"/>
      <c r="U79" s="128"/>
      <c r="V79" s="128"/>
      <c r="W79" s="128"/>
      <c r="X79" s="128"/>
    </row>
    <row r="80" spans="1:24" s="139" customFormat="1" ht="13.5" customHeight="1" x14ac:dyDescent="0.25">
      <c r="A80" s="128"/>
      <c r="B80" s="307"/>
      <c r="C80" s="287"/>
      <c r="D80" s="287"/>
      <c r="E80" s="287"/>
      <c r="F80" s="146" t="s">
        <v>76</v>
      </c>
      <c r="G80" s="147">
        <f>IF(E79&lt;0.125,"NA",IF(0.125&lt;=E79,(0.2*E79)))</f>
        <v>0.22900000000000001</v>
      </c>
      <c r="H80" s="148"/>
      <c r="I80" s="149"/>
      <c r="J80" s="150"/>
      <c r="K80" s="287"/>
      <c r="L80" s="287"/>
      <c r="M80" s="287"/>
      <c r="N80" s="287"/>
      <c r="O80" s="287"/>
      <c r="P80" s="292"/>
      <c r="Q80" s="145"/>
      <c r="R80" s="145"/>
      <c r="S80" s="145"/>
      <c r="T80" s="128"/>
      <c r="U80" s="128"/>
      <c r="V80" s="128"/>
      <c r="W80" s="128"/>
      <c r="X80" s="128"/>
    </row>
    <row r="81" spans="1:24" s="139" customFormat="1" ht="13.5" customHeight="1" x14ac:dyDescent="0.25">
      <c r="A81" s="128"/>
      <c r="B81" s="307"/>
      <c r="C81" s="287"/>
      <c r="D81" s="287"/>
      <c r="E81" s="287"/>
      <c r="F81" s="146" t="s">
        <v>77</v>
      </c>
      <c r="G81" s="147">
        <f>+E79*0.4</f>
        <v>0.45800000000000002</v>
      </c>
      <c r="H81" s="148"/>
      <c r="I81" s="149"/>
      <c r="J81" s="150"/>
      <c r="K81" s="287"/>
      <c r="L81" s="287"/>
      <c r="M81" s="287"/>
      <c r="N81" s="287"/>
      <c r="O81" s="287"/>
      <c r="P81" s="292"/>
      <c r="Q81" s="145"/>
      <c r="R81" s="138"/>
      <c r="S81" s="145"/>
      <c r="T81" s="128"/>
      <c r="U81" s="128"/>
      <c r="V81" s="128"/>
      <c r="W81" s="128"/>
      <c r="X81" s="128"/>
    </row>
    <row r="82" spans="1:24" s="139" customFormat="1" ht="13.5" customHeight="1" x14ac:dyDescent="0.25">
      <c r="A82" s="128"/>
      <c r="B82" s="307"/>
      <c r="C82" s="287"/>
      <c r="D82" s="287"/>
      <c r="E82" s="287"/>
      <c r="F82" s="146" t="s">
        <v>78</v>
      </c>
      <c r="G82" s="147">
        <f>IF(E79&lt;0.125,"NA",IF(0.125&lt;=E79,(0.8*E79)))</f>
        <v>0.91600000000000004</v>
      </c>
      <c r="H82" s="148"/>
      <c r="I82" s="149"/>
      <c r="J82" s="150"/>
      <c r="K82" s="287"/>
      <c r="L82" s="287"/>
      <c r="M82" s="287"/>
      <c r="N82" s="287"/>
      <c r="O82" s="287"/>
      <c r="P82" s="292"/>
      <c r="Q82" s="145"/>
      <c r="R82" s="145"/>
      <c r="S82" s="145"/>
      <c r="T82" s="128"/>
      <c r="U82" s="128"/>
      <c r="V82" s="128"/>
      <c r="W82" s="128"/>
      <c r="X82" s="128"/>
    </row>
    <row r="83" spans="1:24" s="139" customFormat="1" ht="13.5" customHeight="1" thickBot="1" x14ac:dyDescent="0.3">
      <c r="A83" s="128"/>
      <c r="B83" s="308"/>
      <c r="C83" s="288"/>
      <c r="D83" s="288"/>
      <c r="E83" s="288"/>
      <c r="F83" s="151" t="s">
        <v>79</v>
      </c>
      <c r="G83" s="152">
        <f>+E79</f>
        <v>1.145</v>
      </c>
      <c r="H83" s="153"/>
      <c r="I83" s="154"/>
      <c r="J83" s="155"/>
      <c r="K83" s="288"/>
      <c r="L83" s="288"/>
      <c r="M83" s="288"/>
      <c r="N83" s="288"/>
      <c r="O83" s="288"/>
      <c r="P83" s="293"/>
      <c r="Q83" s="145"/>
      <c r="R83" s="138"/>
      <c r="S83" s="145"/>
      <c r="T83" s="128"/>
      <c r="U83" s="128"/>
      <c r="V83" s="128"/>
      <c r="W83" s="128"/>
      <c r="X83" s="128"/>
    </row>
    <row r="84" spans="1:24" s="139" customFormat="1" ht="13.5" customHeight="1" x14ac:dyDescent="0.25">
      <c r="A84" s="128"/>
      <c r="B84" s="306">
        <v>14</v>
      </c>
      <c r="C84" s="309">
        <f>+C79+3</f>
        <v>32.82</v>
      </c>
      <c r="D84" s="286">
        <v>0.3</v>
      </c>
      <c r="E84" s="286">
        <v>0.85499999999999998</v>
      </c>
      <c r="F84" s="140" t="s">
        <v>75</v>
      </c>
      <c r="G84" s="141">
        <v>0</v>
      </c>
      <c r="H84" s="142"/>
      <c r="I84" s="143"/>
      <c r="J84" s="144">
        <v>1.2999999999999999E-2</v>
      </c>
      <c r="K84" s="286">
        <f>+IF(E84&lt;=0.12,(J86),(IF(E84&lt;0.16,((J85+2*J86+J87)/4),IF(E84&gt;=0.16,((J84+3*J85+2*J86+3*J87+J88)/10)))))</f>
        <v>4.7800000000000002E-2</v>
      </c>
      <c r="L84" s="286">
        <f>ROUND(+(D79+D84)/2*(C84-C79),3)</f>
        <v>1.95</v>
      </c>
      <c r="M84" s="286">
        <f>ROUND(+K84*L84,4)</f>
        <v>9.3200000000000005E-2</v>
      </c>
      <c r="N84" s="289">
        <f>ROUND(+M84/$M$108*100,2)</f>
        <v>1</v>
      </c>
      <c r="O84" s="290"/>
      <c r="P84" s="291"/>
      <c r="Q84" s="145"/>
      <c r="R84" s="138"/>
      <c r="T84" s="128"/>
      <c r="U84" s="128"/>
      <c r="V84" s="128"/>
      <c r="W84" s="128"/>
      <c r="X84" s="128"/>
    </row>
    <row r="85" spans="1:24" s="139" customFormat="1" ht="13.5" customHeight="1" x14ac:dyDescent="0.25">
      <c r="A85" s="128"/>
      <c r="B85" s="307"/>
      <c r="C85" s="287"/>
      <c r="D85" s="287"/>
      <c r="E85" s="287"/>
      <c r="F85" s="146" t="s">
        <v>76</v>
      </c>
      <c r="G85" s="147">
        <f>IF(E84&lt;0.125,"NA",IF(0.125&lt;=E84,(0.2*E84)))</f>
        <v>0.17100000000000001</v>
      </c>
      <c r="H85" s="148"/>
      <c r="I85" s="149"/>
      <c r="J85" s="150">
        <v>2.4E-2</v>
      </c>
      <c r="K85" s="287"/>
      <c r="L85" s="287"/>
      <c r="M85" s="287"/>
      <c r="N85" s="287"/>
      <c r="O85" s="287"/>
      <c r="P85" s="292"/>
      <c r="Q85" s="145"/>
      <c r="R85" s="145"/>
      <c r="S85" s="145"/>
      <c r="T85" s="128"/>
      <c r="U85" s="128"/>
      <c r="V85" s="128"/>
      <c r="W85" s="128"/>
      <c r="X85" s="128"/>
    </row>
    <row r="86" spans="1:24" s="139" customFormat="1" ht="13.5" customHeight="1" x14ac:dyDescent="0.25">
      <c r="A86" s="128"/>
      <c r="B86" s="307"/>
      <c r="C86" s="287"/>
      <c r="D86" s="287"/>
      <c r="E86" s="287"/>
      <c r="F86" s="146" t="s">
        <v>77</v>
      </c>
      <c r="G86" s="147">
        <f>+E84*0.4</f>
        <v>0.34200000000000003</v>
      </c>
      <c r="H86" s="148"/>
      <c r="I86" s="149"/>
      <c r="J86" s="150">
        <v>6.8000000000000005E-2</v>
      </c>
      <c r="K86" s="287"/>
      <c r="L86" s="287"/>
      <c r="M86" s="287"/>
      <c r="N86" s="287"/>
      <c r="O86" s="287"/>
      <c r="P86" s="292"/>
      <c r="Q86" s="145"/>
      <c r="R86" s="138"/>
      <c r="S86" s="145"/>
      <c r="T86" s="128"/>
      <c r="U86" s="128"/>
      <c r="V86" s="128"/>
      <c r="W86" s="128"/>
      <c r="X86" s="128"/>
    </row>
    <row r="87" spans="1:24" s="139" customFormat="1" ht="13.5" customHeight="1" x14ac:dyDescent="0.25">
      <c r="A87" s="128"/>
      <c r="B87" s="307"/>
      <c r="C87" s="287"/>
      <c r="D87" s="287"/>
      <c r="E87" s="287"/>
      <c r="F87" s="146" t="s">
        <v>78</v>
      </c>
      <c r="G87" s="147">
        <f>IF(E84&lt;0.125,"NA",IF(0.125&lt;=E84,(0.8*E84)))</f>
        <v>0.68400000000000005</v>
      </c>
      <c r="H87" s="148"/>
      <c r="I87" s="149"/>
      <c r="J87" s="150">
        <v>6.7000000000000004E-2</v>
      </c>
      <c r="K87" s="287"/>
      <c r="L87" s="287"/>
      <c r="M87" s="287"/>
      <c r="N87" s="287"/>
      <c r="O87" s="287"/>
      <c r="P87" s="292"/>
      <c r="Q87" s="145"/>
      <c r="R87" s="145"/>
      <c r="S87" s="145"/>
      <c r="T87" s="128"/>
      <c r="U87" s="128"/>
      <c r="V87" s="128"/>
      <c r="W87" s="128"/>
      <c r="X87" s="128"/>
    </row>
    <row r="88" spans="1:24" s="139" customFormat="1" ht="13.5" customHeight="1" thickBot="1" x14ac:dyDescent="0.3">
      <c r="A88" s="128"/>
      <c r="B88" s="308"/>
      <c r="C88" s="288"/>
      <c r="D88" s="288"/>
      <c r="E88" s="288"/>
      <c r="F88" s="151" t="s">
        <v>79</v>
      </c>
      <c r="G88" s="152">
        <f>+E84</f>
        <v>0.85499999999999998</v>
      </c>
      <c r="H88" s="153"/>
      <c r="I88" s="154"/>
      <c r="J88" s="155">
        <v>5.6000000000000001E-2</v>
      </c>
      <c r="K88" s="288"/>
      <c r="L88" s="288"/>
      <c r="M88" s="288"/>
      <c r="N88" s="288"/>
      <c r="O88" s="288"/>
      <c r="P88" s="293"/>
      <c r="Q88" s="145"/>
      <c r="R88" s="138"/>
      <c r="S88" s="145"/>
      <c r="T88" s="128"/>
      <c r="U88" s="128"/>
      <c r="V88" s="128"/>
      <c r="W88" s="128"/>
      <c r="X88" s="128"/>
    </row>
    <row r="89" spans="1:24" s="156" customFormat="1" ht="13.5" customHeight="1" x14ac:dyDescent="0.25">
      <c r="B89" s="294" t="s">
        <v>28</v>
      </c>
      <c r="C89" s="297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9"/>
      <c r="Q89" s="145"/>
      <c r="R89" s="157"/>
    </row>
    <row r="90" spans="1:24" s="156" customFormat="1" ht="14.1" customHeight="1" x14ac:dyDescent="0.25">
      <c r="B90" s="295"/>
      <c r="C90" s="300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2"/>
      <c r="Q90" s="145"/>
      <c r="R90" s="157"/>
    </row>
    <row r="91" spans="1:24" s="156" customFormat="1" ht="14.1" customHeight="1" x14ac:dyDescent="0.25">
      <c r="B91" s="295"/>
      <c r="C91" s="300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2"/>
      <c r="Q91" s="145"/>
      <c r="R91" s="157"/>
    </row>
    <row r="92" spans="1:24" s="156" customFormat="1" ht="14.1" customHeight="1" x14ac:dyDescent="0.25">
      <c r="B92" s="295"/>
      <c r="C92" s="300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2"/>
      <c r="Q92" s="145"/>
      <c r="R92" s="157"/>
    </row>
    <row r="93" spans="1:24" s="156" customFormat="1" ht="14.1" customHeight="1" x14ac:dyDescent="0.25">
      <c r="B93" s="295"/>
      <c r="C93" s="300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2"/>
      <c r="Q93" s="145"/>
      <c r="R93" s="157"/>
    </row>
    <row r="94" spans="1:24" s="156" customFormat="1" ht="14.1" customHeight="1" thickBot="1" x14ac:dyDescent="0.3">
      <c r="B94" s="296"/>
      <c r="C94" s="303"/>
      <c r="D94" s="304"/>
      <c r="E94" s="304"/>
      <c r="F94" s="304"/>
      <c r="G94" s="304"/>
      <c r="H94" s="304"/>
      <c r="I94" s="304"/>
      <c r="J94" s="304"/>
      <c r="K94" s="304"/>
      <c r="L94" s="304"/>
      <c r="M94" s="304"/>
      <c r="N94" s="304"/>
      <c r="O94" s="304"/>
      <c r="P94" s="305"/>
      <c r="Q94" s="145"/>
      <c r="R94" s="157"/>
    </row>
    <row r="95" spans="1:24" ht="28.5" customHeight="1" thickBot="1" x14ac:dyDescent="0.3">
      <c r="A95" s="158"/>
      <c r="B95" s="159" t="s">
        <v>80</v>
      </c>
      <c r="C95" s="276" t="s">
        <v>131</v>
      </c>
      <c r="D95" s="209"/>
      <c r="E95" s="209"/>
      <c r="F95" s="209"/>
      <c r="G95" s="209"/>
      <c r="H95" s="212"/>
      <c r="I95" s="277"/>
      <c r="J95" s="159" t="s">
        <v>82</v>
      </c>
      <c r="K95" s="276" t="s">
        <v>83</v>
      </c>
      <c r="L95" s="209"/>
      <c r="M95" s="209"/>
      <c r="N95" s="209"/>
      <c r="O95" s="209"/>
      <c r="P95" s="212"/>
      <c r="Q95" s="160"/>
      <c r="R95" s="160"/>
      <c r="S95" s="160"/>
      <c r="T95" s="160"/>
      <c r="U95" s="160"/>
      <c r="V95" s="160"/>
      <c r="W95" s="160"/>
    </row>
    <row r="96" spans="1:24" ht="28.5" customHeight="1" thickBot="1" x14ac:dyDescent="0.3">
      <c r="A96" s="160"/>
      <c r="B96" s="161" t="s">
        <v>84</v>
      </c>
      <c r="C96" s="278" t="s">
        <v>85</v>
      </c>
      <c r="D96" s="248"/>
      <c r="E96" s="248"/>
      <c r="F96" s="248"/>
      <c r="G96" s="248"/>
      <c r="H96" s="249"/>
      <c r="I96" s="248"/>
      <c r="J96" s="161" t="s">
        <v>86</v>
      </c>
      <c r="K96" s="278" t="s">
        <v>87</v>
      </c>
      <c r="L96" s="248"/>
      <c r="M96" s="248"/>
      <c r="N96" s="248"/>
      <c r="O96" s="248"/>
      <c r="P96" s="249"/>
      <c r="Q96" s="160"/>
      <c r="R96" s="160"/>
      <c r="S96" s="160"/>
      <c r="T96" s="160"/>
      <c r="U96" s="160"/>
      <c r="V96" s="160"/>
      <c r="W96" s="160"/>
    </row>
    <row r="97" spans="1:24" ht="13.5" customHeight="1" x14ac:dyDescent="0.25">
      <c r="A97" s="162"/>
      <c r="B97" s="279">
        <v>13</v>
      </c>
      <c r="C97" s="282">
        <f t="shared" ref="C97:D97" si="0">+C74</f>
        <v>27.82</v>
      </c>
      <c r="D97" s="284">
        <f t="shared" si="0"/>
        <v>1.107</v>
      </c>
      <c r="E97" s="284">
        <f>+E79</f>
        <v>1.145</v>
      </c>
      <c r="F97" s="163" t="s">
        <v>75</v>
      </c>
      <c r="G97" s="163">
        <v>0.01</v>
      </c>
      <c r="H97" s="164"/>
      <c r="I97" s="165"/>
      <c r="J97" s="166">
        <v>0.105</v>
      </c>
      <c r="K97" s="285">
        <f>+AVERAGE(J97:J107)</f>
        <v>0.20236363636363636</v>
      </c>
      <c r="L97" s="267">
        <f>ROUND(+(D97+D102)/2*(C102-C97),3)</f>
        <v>2.1070000000000002</v>
      </c>
      <c r="M97" s="270">
        <f>ROUND(+K97*L97,4)</f>
        <v>0.4264</v>
      </c>
      <c r="N97" s="267">
        <f>ROUND(+M97/$M$108*100,2)</f>
        <v>4.55</v>
      </c>
      <c r="O97" s="267"/>
      <c r="P97" s="271"/>
      <c r="Q97" s="145"/>
      <c r="R97" s="157"/>
      <c r="S97" s="160"/>
      <c r="T97" s="160"/>
      <c r="U97" s="160"/>
      <c r="V97" s="160"/>
      <c r="W97" s="160"/>
      <c r="X97" s="160"/>
    </row>
    <row r="98" spans="1:24" ht="13.5" customHeight="1" x14ac:dyDescent="0.25">
      <c r="A98" s="162"/>
      <c r="B98" s="280"/>
      <c r="C98" s="268"/>
      <c r="D98" s="268"/>
      <c r="E98" s="268"/>
      <c r="F98" s="167" t="s">
        <v>88</v>
      </c>
      <c r="G98" s="168">
        <f>+E97*0.1</f>
        <v>0.1145</v>
      </c>
      <c r="H98" s="169"/>
      <c r="I98" s="170"/>
      <c r="J98" s="171">
        <v>0.14499999999999999</v>
      </c>
      <c r="K98" s="268"/>
      <c r="L98" s="268"/>
      <c r="M98" s="268"/>
      <c r="N98" s="268"/>
      <c r="O98" s="268"/>
      <c r="P98" s="272"/>
      <c r="Q98" s="145"/>
      <c r="R98" s="157"/>
      <c r="S98" s="160"/>
      <c r="T98" s="160"/>
      <c r="U98" s="160"/>
      <c r="V98" s="160"/>
      <c r="W98" s="160"/>
      <c r="X98" s="160"/>
    </row>
    <row r="99" spans="1:24" ht="13.5" customHeight="1" x14ac:dyDescent="0.25">
      <c r="A99" s="162"/>
      <c r="B99" s="280"/>
      <c r="C99" s="268"/>
      <c r="D99" s="268"/>
      <c r="E99" s="268"/>
      <c r="F99" s="167" t="s">
        <v>89</v>
      </c>
      <c r="G99" s="168">
        <f>+E97*0.2</f>
        <v>0.22900000000000001</v>
      </c>
      <c r="H99" s="169"/>
      <c r="I99" s="170"/>
      <c r="J99" s="171">
        <v>0.20399999999999999</v>
      </c>
      <c r="K99" s="268"/>
      <c r="L99" s="268"/>
      <c r="M99" s="268"/>
      <c r="N99" s="268"/>
      <c r="O99" s="268"/>
      <c r="P99" s="272"/>
      <c r="Q99" s="145"/>
      <c r="R99" s="157"/>
      <c r="S99" s="160"/>
      <c r="T99" s="160"/>
      <c r="U99" s="160"/>
      <c r="V99" s="160"/>
      <c r="W99" s="160"/>
      <c r="X99" s="160"/>
    </row>
    <row r="100" spans="1:24" ht="13.5" customHeight="1" x14ac:dyDescent="0.25">
      <c r="A100" s="162"/>
      <c r="B100" s="280"/>
      <c r="C100" s="268"/>
      <c r="D100" s="268"/>
      <c r="E100" s="268"/>
      <c r="F100" s="167" t="s">
        <v>90</v>
      </c>
      <c r="G100" s="168">
        <f>+E97*0.3</f>
        <v>0.34349999999999997</v>
      </c>
      <c r="H100" s="169"/>
      <c r="I100" s="170"/>
      <c r="J100" s="171">
        <v>0.19900000000000001</v>
      </c>
      <c r="K100" s="268"/>
      <c r="L100" s="268"/>
      <c r="M100" s="268"/>
      <c r="N100" s="268"/>
      <c r="O100" s="268"/>
      <c r="P100" s="272"/>
      <c r="Q100" s="145"/>
      <c r="R100" s="157"/>
      <c r="S100" s="160"/>
      <c r="T100" s="160"/>
      <c r="U100" s="160"/>
      <c r="V100" s="160"/>
      <c r="W100" s="160"/>
      <c r="X100" s="160"/>
    </row>
    <row r="101" spans="1:24" ht="13.5" customHeight="1" x14ac:dyDescent="0.25">
      <c r="A101" s="162"/>
      <c r="B101" s="280"/>
      <c r="C101" s="283"/>
      <c r="D101" s="283"/>
      <c r="E101" s="268"/>
      <c r="F101" s="167" t="s">
        <v>91</v>
      </c>
      <c r="G101" s="168">
        <f>+E97*0.4</f>
        <v>0.45800000000000002</v>
      </c>
      <c r="H101" s="169"/>
      <c r="I101" s="170"/>
      <c r="J101" s="171">
        <v>0.20499999999999999</v>
      </c>
      <c r="K101" s="268"/>
      <c r="L101" s="268"/>
      <c r="M101" s="268"/>
      <c r="N101" s="268"/>
      <c r="O101" s="268"/>
      <c r="P101" s="272"/>
      <c r="Q101" s="145"/>
      <c r="R101" s="157"/>
      <c r="S101" s="160"/>
      <c r="T101" s="160"/>
      <c r="U101" s="160"/>
      <c r="V101" s="160"/>
      <c r="W101" s="160"/>
      <c r="X101" s="160"/>
    </row>
    <row r="102" spans="1:24" ht="13.5" customHeight="1" x14ac:dyDescent="0.25">
      <c r="A102" s="162"/>
      <c r="B102" s="280"/>
      <c r="C102" s="274">
        <f t="shared" ref="C102:D102" si="1">+C79</f>
        <v>29.82</v>
      </c>
      <c r="D102" s="275">
        <f t="shared" si="1"/>
        <v>1</v>
      </c>
      <c r="E102" s="268"/>
      <c r="F102" s="167" t="s">
        <v>29</v>
      </c>
      <c r="G102" s="168">
        <f>+E97*0.5</f>
        <v>0.57250000000000001</v>
      </c>
      <c r="H102" s="169"/>
      <c r="I102" s="170"/>
      <c r="J102" s="171">
        <v>0.23400000000000001</v>
      </c>
      <c r="K102" s="268"/>
      <c r="L102" s="268"/>
      <c r="M102" s="268"/>
      <c r="N102" s="268"/>
      <c r="O102" s="268"/>
      <c r="P102" s="272"/>
      <c r="Q102" s="145"/>
      <c r="R102" s="157"/>
      <c r="S102" s="160"/>
      <c r="T102" s="160"/>
      <c r="U102" s="160"/>
      <c r="V102" s="160"/>
      <c r="W102" s="160"/>
      <c r="X102" s="160"/>
    </row>
    <row r="103" spans="1:24" ht="13.5" customHeight="1" x14ac:dyDescent="0.25">
      <c r="A103" s="162"/>
      <c r="B103" s="280"/>
      <c r="C103" s="268"/>
      <c r="D103" s="268"/>
      <c r="E103" s="268"/>
      <c r="F103" s="167" t="s">
        <v>92</v>
      </c>
      <c r="G103" s="168">
        <f>+E97*0.6</f>
        <v>0.68699999999999994</v>
      </c>
      <c r="H103" s="169"/>
      <c r="I103" s="170"/>
      <c r="J103" s="171">
        <v>0.21</v>
      </c>
      <c r="K103" s="268"/>
      <c r="L103" s="268"/>
      <c r="M103" s="268"/>
      <c r="N103" s="268"/>
      <c r="O103" s="268"/>
      <c r="P103" s="272"/>
      <c r="Q103" s="145"/>
      <c r="R103" s="157"/>
      <c r="S103" s="160"/>
      <c r="T103" s="160"/>
      <c r="U103" s="160"/>
      <c r="V103" s="160"/>
      <c r="W103" s="160"/>
      <c r="X103" s="160"/>
    </row>
    <row r="104" spans="1:24" ht="13.5" customHeight="1" x14ac:dyDescent="0.25">
      <c r="A104" s="162"/>
      <c r="B104" s="280"/>
      <c r="C104" s="268"/>
      <c r="D104" s="268"/>
      <c r="E104" s="268"/>
      <c r="F104" s="167" t="s">
        <v>93</v>
      </c>
      <c r="G104" s="168">
        <f>+E97*0.7</f>
        <v>0.80149999999999999</v>
      </c>
      <c r="H104" s="169"/>
      <c r="I104" s="170"/>
      <c r="J104" s="171">
        <v>0.22</v>
      </c>
      <c r="K104" s="268"/>
      <c r="L104" s="268"/>
      <c r="M104" s="268"/>
      <c r="N104" s="268"/>
      <c r="O104" s="268"/>
      <c r="P104" s="272"/>
      <c r="Q104" s="145"/>
      <c r="R104" s="157"/>
      <c r="S104" s="160"/>
      <c r="T104" s="160"/>
      <c r="U104" s="160"/>
      <c r="V104" s="160"/>
      <c r="W104" s="160"/>
      <c r="X104" s="160"/>
    </row>
    <row r="105" spans="1:24" ht="13.5" customHeight="1" x14ac:dyDescent="0.25">
      <c r="A105" s="162"/>
      <c r="B105" s="280"/>
      <c r="C105" s="268"/>
      <c r="D105" s="268"/>
      <c r="E105" s="268"/>
      <c r="F105" s="167" t="s">
        <v>94</v>
      </c>
      <c r="G105" s="168">
        <f>+E97*0.8</f>
        <v>0.91600000000000004</v>
      </c>
      <c r="H105" s="169"/>
      <c r="I105" s="170"/>
      <c r="J105" s="171">
        <v>0.23799999999999999</v>
      </c>
      <c r="K105" s="268"/>
      <c r="L105" s="268"/>
      <c r="M105" s="268"/>
      <c r="N105" s="268"/>
      <c r="O105" s="268"/>
      <c r="P105" s="272"/>
      <c r="Q105" s="145"/>
      <c r="R105" s="157"/>
      <c r="S105" s="160"/>
      <c r="T105" s="160"/>
      <c r="U105" s="160"/>
      <c r="V105" s="160"/>
      <c r="W105" s="160"/>
      <c r="X105" s="160"/>
    </row>
    <row r="106" spans="1:24" ht="13.5" customHeight="1" x14ac:dyDescent="0.25">
      <c r="A106" s="162"/>
      <c r="B106" s="280"/>
      <c r="C106" s="268"/>
      <c r="D106" s="268"/>
      <c r="E106" s="268"/>
      <c r="F106" s="167" t="s">
        <v>95</v>
      </c>
      <c r="G106" s="168">
        <f>+E97*0.9</f>
        <v>1.0305</v>
      </c>
      <c r="H106" s="169"/>
      <c r="I106" s="170"/>
      <c r="J106" s="171">
        <v>0.23599999999999999</v>
      </c>
      <c r="K106" s="268"/>
      <c r="L106" s="268"/>
      <c r="M106" s="268"/>
      <c r="N106" s="268"/>
      <c r="O106" s="268"/>
      <c r="P106" s="272"/>
      <c r="Q106" s="145"/>
      <c r="R106" s="157"/>
      <c r="S106" s="160"/>
      <c r="T106" s="160"/>
      <c r="U106" s="160"/>
      <c r="V106" s="160"/>
      <c r="W106" s="160"/>
      <c r="X106" s="160"/>
    </row>
    <row r="107" spans="1:24" ht="15.75" thickBot="1" x14ac:dyDescent="0.3">
      <c r="A107" s="162"/>
      <c r="B107" s="281"/>
      <c r="C107" s="269"/>
      <c r="D107" s="269"/>
      <c r="E107" s="269"/>
      <c r="F107" s="172" t="s">
        <v>30</v>
      </c>
      <c r="G107" s="172">
        <f>+E97</f>
        <v>1.145</v>
      </c>
      <c r="H107" s="173"/>
      <c r="I107" s="174"/>
      <c r="J107" s="175">
        <v>0.23</v>
      </c>
      <c r="K107" s="269"/>
      <c r="L107" s="269"/>
      <c r="M107" s="269"/>
      <c r="N107" s="269"/>
      <c r="O107" s="269"/>
      <c r="P107" s="273"/>
      <c r="Q107" s="145"/>
      <c r="R107" s="157"/>
      <c r="S107" s="160"/>
      <c r="T107" s="160"/>
      <c r="U107" s="160"/>
      <c r="V107" s="160"/>
      <c r="W107" s="160"/>
      <c r="X107" s="160"/>
    </row>
    <row r="108" spans="1:24" x14ac:dyDescent="0.25">
      <c r="A108" s="162"/>
      <c r="B108" s="257"/>
      <c r="C108" s="258"/>
      <c r="D108" s="258"/>
      <c r="E108" s="258"/>
      <c r="F108" s="258"/>
      <c r="G108" s="258"/>
      <c r="H108" s="258"/>
      <c r="I108" s="258"/>
      <c r="J108" s="259"/>
      <c r="K108" s="176">
        <f>ROUND(+M108/L108,3)</f>
        <v>0.44900000000000001</v>
      </c>
      <c r="L108" s="177">
        <f>SUM(L19:L107)</f>
        <v>20.873999999999999</v>
      </c>
      <c r="M108" s="178">
        <f>SUM(M19:M107)</f>
        <v>9.3660999999999976</v>
      </c>
      <c r="N108" s="179">
        <f>ROUND(SUM(N19:N107),0)</f>
        <v>100</v>
      </c>
      <c r="O108" s="262" t="s">
        <v>31</v>
      </c>
      <c r="P108" s="264"/>
      <c r="Q108" s="160"/>
      <c r="R108" s="160"/>
      <c r="S108" s="160"/>
      <c r="T108" s="160"/>
      <c r="U108" s="160"/>
      <c r="V108" s="160"/>
      <c r="W108" s="160"/>
    </row>
    <row r="109" spans="1:24" ht="15.75" thickBot="1" x14ac:dyDescent="0.3">
      <c r="A109" s="162"/>
      <c r="B109" s="260"/>
      <c r="C109" s="206"/>
      <c r="D109" s="206"/>
      <c r="E109" s="206"/>
      <c r="F109" s="206"/>
      <c r="G109" s="206"/>
      <c r="H109" s="206"/>
      <c r="I109" s="206"/>
      <c r="J109" s="261"/>
      <c r="K109" s="180" t="s">
        <v>32</v>
      </c>
      <c r="L109" s="180" t="s">
        <v>132</v>
      </c>
      <c r="M109" s="180" t="s">
        <v>133</v>
      </c>
      <c r="N109" s="180" t="s">
        <v>33</v>
      </c>
      <c r="O109" s="263"/>
      <c r="P109" s="265"/>
      <c r="Q109" s="160"/>
      <c r="R109" s="160"/>
      <c r="S109" s="160"/>
      <c r="T109" s="160"/>
      <c r="U109" s="160"/>
      <c r="V109" s="160"/>
      <c r="W109" s="160"/>
    </row>
    <row r="110" spans="1:24" ht="15.75" thickBot="1" x14ac:dyDescent="0.3">
      <c r="A110" s="96"/>
      <c r="B110" s="217" t="s">
        <v>96</v>
      </c>
      <c r="C110" s="218"/>
      <c r="D110" s="218"/>
      <c r="E110" s="218"/>
      <c r="F110" s="219"/>
      <c r="G110" s="217" t="s">
        <v>97</v>
      </c>
      <c r="H110" s="218"/>
      <c r="I110" s="218"/>
      <c r="J110" s="218"/>
      <c r="K110" s="219"/>
      <c r="L110" s="266" t="s">
        <v>49</v>
      </c>
      <c r="M110" s="218"/>
      <c r="N110" s="218"/>
      <c r="O110" s="218"/>
      <c r="P110" s="221"/>
    </row>
    <row r="111" spans="1:24" x14ac:dyDescent="0.25">
      <c r="A111" s="96"/>
      <c r="B111" s="227"/>
      <c r="C111" s="228"/>
      <c r="D111" s="228"/>
      <c r="E111" s="228"/>
      <c r="F111" s="229"/>
      <c r="G111" s="227"/>
      <c r="H111" s="228"/>
      <c r="I111" s="228"/>
      <c r="J111" s="228"/>
      <c r="K111" s="229"/>
      <c r="L111" s="236" t="s">
        <v>98</v>
      </c>
      <c r="M111" s="237"/>
      <c r="N111" s="237"/>
      <c r="O111" s="238">
        <f>+AVERAGE(E18:E88)</f>
        <v>0.75007142857142861</v>
      </c>
      <c r="P111" s="239"/>
    </row>
    <row r="112" spans="1:24" ht="15.75" thickBot="1" x14ac:dyDescent="0.3">
      <c r="A112" s="96"/>
      <c r="B112" s="230"/>
      <c r="C112" s="231"/>
      <c r="D112" s="231"/>
      <c r="E112" s="231"/>
      <c r="F112" s="232"/>
      <c r="G112" s="230"/>
      <c r="H112" s="231"/>
      <c r="I112" s="231"/>
      <c r="J112" s="231"/>
      <c r="K112" s="232"/>
      <c r="L112" s="240" t="s">
        <v>99</v>
      </c>
      <c r="M112" s="241"/>
      <c r="N112" s="241"/>
      <c r="O112" s="242">
        <f>MAX(E18:E88)</f>
        <v>1.145</v>
      </c>
      <c r="P112" s="243"/>
    </row>
    <row r="113" spans="1:23" ht="18" customHeight="1" x14ac:dyDescent="0.25">
      <c r="A113" s="181"/>
      <c r="B113" s="230"/>
      <c r="C113" s="231"/>
      <c r="D113" s="231"/>
      <c r="E113" s="231"/>
      <c r="F113" s="232"/>
      <c r="G113" s="230"/>
      <c r="H113" s="231"/>
      <c r="I113" s="231"/>
      <c r="J113" s="231"/>
      <c r="K113" s="232"/>
      <c r="L113" s="244" t="s">
        <v>106</v>
      </c>
      <c r="M113" s="245"/>
      <c r="N113" s="245"/>
      <c r="O113" s="245"/>
      <c r="P113" s="246"/>
    </row>
    <row r="114" spans="1:23" ht="87.75" customHeight="1" x14ac:dyDescent="0.25">
      <c r="A114" s="96"/>
      <c r="B114" s="230"/>
      <c r="C114" s="231"/>
      <c r="D114" s="231"/>
      <c r="E114" s="231"/>
      <c r="F114" s="232"/>
      <c r="G114" s="230"/>
      <c r="H114" s="231"/>
      <c r="I114" s="231"/>
      <c r="J114" s="231"/>
      <c r="K114" s="232"/>
      <c r="L114" s="247"/>
      <c r="M114" s="248"/>
      <c r="N114" s="248"/>
      <c r="O114" s="248"/>
      <c r="P114" s="249"/>
    </row>
    <row r="115" spans="1:23" ht="15.75" thickBot="1" x14ac:dyDescent="0.3">
      <c r="A115" s="96"/>
      <c r="B115" s="230"/>
      <c r="C115" s="231"/>
      <c r="D115" s="231"/>
      <c r="E115" s="231"/>
      <c r="F115" s="232"/>
      <c r="G115" s="230"/>
      <c r="H115" s="231"/>
      <c r="I115" s="231"/>
      <c r="J115" s="231"/>
      <c r="K115" s="232"/>
      <c r="L115" s="250"/>
      <c r="M115" s="251"/>
      <c r="N115" s="251"/>
      <c r="O115" s="251"/>
      <c r="P115" s="252"/>
    </row>
    <row r="116" spans="1:23" ht="15.75" customHeight="1" thickBot="1" x14ac:dyDescent="0.3">
      <c r="A116" s="96"/>
      <c r="B116" s="230"/>
      <c r="C116" s="231"/>
      <c r="D116" s="231"/>
      <c r="E116" s="231"/>
      <c r="F116" s="232"/>
      <c r="G116" s="230"/>
      <c r="H116" s="231"/>
      <c r="I116" s="231"/>
      <c r="J116" s="231"/>
      <c r="K116" s="232"/>
      <c r="L116" s="253" t="s">
        <v>34</v>
      </c>
      <c r="M116" s="254"/>
      <c r="N116" s="254"/>
      <c r="O116" s="254"/>
      <c r="P116" s="182">
        <v>5.37</v>
      </c>
    </row>
    <row r="117" spans="1:23" ht="14.25" customHeight="1" thickBot="1" x14ac:dyDescent="0.3">
      <c r="A117" s="96"/>
      <c r="B117" s="233"/>
      <c r="C117" s="234"/>
      <c r="D117" s="234"/>
      <c r="E117" s="234"/>
      <c r="F117" s="235"/>
      <c r="G117" s="233"/>
      <c r="H117" s="234"/>
      <c r="I117" s="234"/>
      <c r="J117" s="234"/>
      <c r="K117" s="235"/>
      <c r="L117" s="255" t="s">
        <v>134</v>
      </c>
      <c r="M117" s="256"/>
      <c r="N117" s="256"/>
      <c r="O117" s="256"/>
      <c r="P117" s="182">
        <v>0.98699999999999999</v>
      </c>
    </row>
    <row r="118" spans="1:23" ht="23.25" customHeight="1" thickBot="1" x14ac:dyDescent="0.3">
      <c r="A118" s="97"/>
      <c r="B118" s="213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</row>
    <row r="119" spans="1:23" ht="15.75" thickBot="1" x14ac:dyDescent="0.3">
      <c r="A119" s="214" t="s">
        <v>35</v>
      </c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6"/>
    </row>
    <row r="120" spans="1:23" ht="159" customHeight="1" thickBot="1" x14ac:dyDescent="0.3">
      <c r="A120" s="183"/>
      <c r="B120" s="217"/>
      <c r="C120" s="218"/>
      <c r="D120" s="218"/>
      <c r="E120" s="218"/>
      <c r="F120" s="218"/>
      <c r="G120" s="218"/>
      <c r="H120" s="219"/>
      <c r="I120" s="220"/>
      <c r="J120" s="218"/>
      <c r="K120" s="218"/>
      <c r="L120" s="218"/>
      <c r="M120" s="218"/>
      <c r="N120" s="218"/>
      <c r="O120" s="218"/>
      <c r="P120" s="221"/>
    </row>
    <row r="121" spans="1:23" ht="21.75" customHeight="1" thickBot="1" x14ac:dyDescent="0.3">
      <c r="A121" s="183"/>
      <c r="B121" s="222" t="s">
        <v>100</v>
      </c>
      <c r="C121" s="223"/>
      <c r="D121" s="223"/>
      <c r="E121" s="223"/>
      <c r="F121" s="223"/>
      <c r="G121" s="223"/>
      <c r="H121" s="224"/>
      <c r="I121" s="225" t="s">
        <v>108</v>
      </c>
      <c r="J121" s="223"/>
      <c r="K121" s="223"/>
      <c r="L121" s="223"/>
      <c r="M121" s="223"/>
      <c r="N121" s="223"/>
      <c r="O121" s="223"/>
      <c r="P121" s="226"/>
    </row>
    <row r="122" spans="1:23" ht="16.5" customHeight="1" thickBot="1" x14ac:dyDescent="0.3">
      <c r="A122" s="184"/>
      <c r="B122" s="205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7"/>
      <c r="Q122" s="185"/>
      <c r="R122" s="185"/>
      <c r="S122" s="185"/>
      <c r="T122" s="185"/>
      <c r="U122" s="185"/>
      <c r="V122" s="185"/>
      <c r="W122" s="185"/>
    </row>
    <row r="123" spans="1:23" ht="15.75" customHeight="1" thickBot="1" x14ac:dyDescent="0.3">
      <c r="A123" s="208" t="s">
        <v>36</v>
      </c>
      <c r="B123" s="209"/>
      <c r="C123" s="210"/>
      <c r="D123" s="211"/>
      <c r="E123" s="209"/>
      <c r="F123" s="209"/>
      <c r="G123" s="209"/>
      <c r="H123" s="209"/>
      <c r="I123" s="210"/>
      <c r="J123" s="211" t="s">
        <v>37</v>
      </c>
      <c r="K123" s="210"/>
      <c r="L123" s="211"/>
      <c r="M123" s="209"/>
      <c r="N123" s="209"/>
      <c r="O123" s="209"/>
      <c r="P123" s="212"/>
      <c r="Q123" s="160"/>
      <c r="R123" s="160"/>
      <c r="S123" s="160"/>
      <c r="T123" s="160"/>
      <c r="U123" s="160"/>
      <c r="V123" s="160"/>
      <c r="W123" s="160"/>
    </row>
  </sheetData>
  <mergeCells count="24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22:P122"/>
    <mergeCell ref="A123:C123"/>
    <mergeCell ref="D123:I123"/>
    <mergeCell ref="J123:K123"/>
    <mergeCell ref="L123:P123"/>
    <mergeCell ref="B118:P118"/>
    <mergeCell ref="A119:P119"/>
    <mergeCell ref="B120:H120"/>
    <mergeCell ref="I120:P120"/>
    <mergeCell ref="B121:H121"/>
    <mergeCell ref="I121:P1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3"/>
  <sheetViews>
    <sheetView view="pageBreakPreview" zoomScaleSheetLayoutView="100" zoomScalePageLayoutView="110" workbookViewId="0">
      <selection activeCell="A6" sqref="A6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3" ht="4.9000000000000004" customHeight="1" thickBot="1" x14ac:dyDescent="0.3">
      <c r="J1" s="14"/>
    </row>
    <row r="2" spans="1:23" s="2" customFormat="1" ht="30" customHeight="1" x14ac:dyDescent="0.25">
      <c r="A2" s="186"/>
      <c r="B2" s="634"/>
      <c r="C2" s="635"/>
      <c r="D2" s="636"/>
      <c r="E2" s="571" t="s">
        <v>147</v>
      </c>
      <c r="F2" s="572"/>
      <c r="G2" s="572"/>
      <c r="H2" s="572"/>
      <c r="I2" s="572"/>
      <c r="J2" s="572"/>
      <c r="K2" s="572"/>
      <c r="L2" s="572"/>
      <c r="M2" s="572"/>
      <c r="N2" s="572"/>
      <c r="O2" s="637"/>
      <c r="P2" s="575"/>
    </row>
    <row r="3" spans="1:23" s="2" customFormat="1" ht="25.5" customHeight="1" thickBot="1" x14ac:dyDescent="0.3">
      <c r="A3" s="186"/>
      <c r="B3" s="638"/>
      <c r="C3" s="639"/>
      <c r="D3" s="640"/>
      <c r="E3" s="573"/>
      <c r="F3" s="574"/>
      <c r="G3" s="574"/>
      <c r="H3" s="574"/>
      <c r="I3" s="574"/>
      <c r="J3" s="574"/>
      <c r="K3" s="574"/>
      <c r="L3" s="574"/>
      <c r="M3" s="574"/>
      <c r="N3" s="574"/>
      <c r="O3" s="641"/>
      <c r="P3" s="576"/>
    </row>
    <row r="4" spans="1:23" s="16" customFormat="1" ht="11.25" customHeight="1" thickBot="1" x14ac:dyDescent="0.3">
      <c r="A4" s="15"/>
      <c r="B4" s="577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2"/>
      <c r="P4" s="502"/>
      <c r="Q4" s="2"/>
      <c r="R4" s="2"/>
      <c r="S4" s="2"/>
      <c r="T4" s="2"/>
      <c r="U4" s="2"/>
      <c r="V4" s="2"/>
      <c r="W4" s="2"/>
    </row>
    <row r="5" spans="1:23" s="19" customFormat="1" ht="31.5" customHeight="1" thickBot="1" x14ac:dyDescent="0.3">
      <c r="A5" s="17"/>
      <c r="B5" s="72" t="s">
        <v>0</v>
      </c>
      <c r="C5" s="578">
        <v>43070</v>
      </c>
      <c r="D5" s="579"/>
      <c r="E5" s="73" t="s">
        <v>50</v>
      </c>
      <c r="F5" s="74">
        <v>2</v>
      </c>
      <c r="G5" s="75" t="s">
        <v>1</v>
      </c>
      <c r="H5" s="580" t="s">
        <v>148</v>
      </c>
      <c r="I5" s="581"/>
      <c r="J5" s="581"/>
      <c r="K5" s="581"/>
      <c r="L5" s="581"/>
      <c r="M5" s="581"/>
      <c r="N5" s="581"/>
      <c r="O5" s="581"/>
      <c r="P5" s="582"/>
      <c r="Q5" s="18"/>
      <c r="R5" s="18"/>
      <c r="S5" s="18"/>
      <c r="T5" s="18"/>
      <c r="U5" s="18"/>
      <c r="V5" s="18"/>
      <c r="W5" s="18"/>
    </row>
    <row r="6" spans="1:23" s="80" customFormat="1" ht="21.75" customHeight="1" thickBot="1" x14ac:dyDescent="0.3">
      <c r="A6" s="76"/>
      <c r="B6" s="555" t="s">
        <v>2</v>
      </c>
      <c r="C6" s="556"/>
      <c r="D6" s="557" t="s">
        <v>110</v>
      </c>
      <c r="E6" s="558"/>
      <c r="F6" s="558"/>
      <c r="G6" s="558"/>
      <c r="H6" s="558"/>
      <c r="I6" s="559"/>
      <c r="J6" s="77" t="s">
        <v>3</v>
      </c>
      <c r="K6" s="560" t="s">
        <v>139</v>
      </c>
      <c r="L6" s="559"/>
      <c r="M6" s="560" t="s">
        <v>140</v>
      </c>
      <c r="N6" s="561"/>
      <c r="O6" s="78" t="s">
        <v>51</v>
      </c>
      <c r="P6" s="79">
        <v>195</v>
      </c>
    </row>
    <row r="7" spans="1:23" s="19" customFormat="1" ht="21.75" customHeight="1" x14ac:dyDescent="0.25">
      <c r="B7" s="562" t="s">
        <v>52</v>
      </c>
      <c r="C7" s="563" t="s">
        <v>53</v>
      </c>
      <c r="D7" s="533"/>
      <c r="E7" s="81"/>
      <c r="F7" s="564" t="s">
        <v>54</v>
      </c>
      <c r="G7" s="565"/>
      <c r="H7" s="565"/>
      <c r="I7" s="565"/>
      <c r="J7" s="566" t="s">
        <v>55</v>
      </c>
      <c r="K7" s="567"/>
      <c r="L7" s="567"/>
      <c r="M7" s="568"/>
      <c r="N7" s="569" t="s">
        <v>104</v>
      </c>
      <c r="O7" s="570"/>
      <c r="P7" s="82" t="s">
        <v>56</v>
      </c>
    </row>
    <row r="8" spans="1:23" s="19" customFormat="1" ht="21.75" customHeight="1" thickBot="1" x14ac:dyDescent="0.3">
      <c r="B8" s="508"/>
      <c r="C8" s="524" t="s">
        <v>57</v>
      </c>
      <c r="D8" s="523"/>
      <c r="E8" s="83" t="s">
        <v>4</v>
      </c>
      <c r="F8" s="534" t="s">
        <v>5</v>
      </c>
      <c r="G8" s="535"/>
      <c r="H8" s="535"/>
      <c r="I8" s="535"/>
      <c r="J8" s="536"/>
      <c r="K8" s="537"/>
      <c r="L8" s="537"/>
      <c r="M8" s="538"/>
      <c r="N8" s="539"/>
      <c r="O8" s="540"/>
      <c r="P8" s="84"/>
    </row>
    <row r="9" spans="1:23" s="19" customFormat="1" ht="21.75" customHeight="1" x14ac:dyDescent="0.25">
      <c r="B9" s="541" t="s">
        <v>6</v>
      </c>
      <c r="C9" s="544" t="s">
        <v>58</v>
      </c>
      <c r="D9" s="545" t="s">
        <v>59</v>
      </c>
      <c r="E9" s="530"/>
      <c r="F9" s="85"/>
      <c r="G9" s="546" t="s">
        <v>7</v>
      </c>
      <c r="H9" s="547" t="s">
        <v>8</v>
      </c>
      <c r="I9" s="533"/>
      <c r="J9" s="86" t="s">
        <v>4</v>
      </c>
      <c r="K9" s="544" t="s">
        <v>60</v>
      </c>
      <c r="L9" s="548" t="s">
        <v>105</v>
      </c>
      <c r="M9" s="549"/>
      <c r="N9" s="550"/>
      <c r="O9" s="550"/>
      <c r="P9" s="551"/>
    </row>
    <row r="10" spans="1:23" s="19" customFormat="1" ht="21.75" customHeight="1" thickBot="1" x14ac:dyDescent="0.3">
      <c r="B10" s="542"/>
      <c r="C10" s="489"/>
      <c r="D10" s="528" t="s">
        <v>61</v>
      </c>
      <c r="E10" s="523"/>
      <c r="F10" s="87"/>
      <c r="G10" s="489"/>
      <c r="H10" s="528" t="s">
        <v>9</v>
      </c>
      <c r="I10" s="523"/>
      <c r="J10" s="88"/>
      <c r="K10" s="489"/>
      <c r="L10" s="552"/>
      <c r="M10" s="553"/>
      <c r="N10" s="553"/>
      <c r="O10" s="553"/>
      <c r="P10" s="554"/>
    </row>
    <row r="11" spans="1:23" s="19" customFormat="1" ht="21.75" customHeight="1" x14ac:dyDescent="0.25">
      <c r="A11" s="17"/>
      <c r="B11" s="542"/>
      <c r="C11" s="529" t="s">
        <v>10</v>
      </c>
      <c r="D11" s="530"/>
      <c r="E11" s="89">
        <v>0.37847222222222227</v>
      </c>
      <c r="F11" s="531" t="s">
        <v>11</v>
      </c>
      <c r="G11" s="530"/>
      <c r="H11" s="90">
        <v>1.2</v>
      </c>
      <c r="I11" s="532" t="s">
        <v>12</v>
      </c>
      <c r="J11" s="533"/>
      <c r="K11" s="187">
        <v>26</v>
      </c>
      <c r="L11" s="529" t="s">
        <v>13</v>
      </c>
      <c r="M11" s="530"/>
      <c r="N11" s="91">
        <v>27.77</v>
      </c>
      <c r="O11" s="520" t="s">
        <v>62</v>
      </c>
      <c r="P11" s="521"/>
    </row>
    <row r="12" spans="1:23" s="19" customFormat="1" ht="21.75" customHeight="1" thickBot="1" x14ac:dyDescent="0.3">
      <c r="A12" s="17"/>
      <c r="B12" s="543"/>
      <c r="C12" s="522" t="s">
        <v>14</v>
      </c>
      <c r="D12" s="523"/>
      <c r="E12" s="89">
        <v>0.5</v>
      </c>
      <c r="F12" s="524" t="s">
        <v>15</v>
      </c>
      <c r="G12" s="523"/>
      <c r="H12" s="90">
        <v>1.23</v>
      </c>
      <c r="I12" s="525" t="s">
        <v>16</v>
      </c>
      <c r="J12" s="523"/>
      <c r="K12" s="89">
        <v>0.39930555555555558</v>
      </c>
      <c r="L12" s="522" t="s">
        <v>17</v>
      </c>
      <c r="M12" s="523"/>
      <c r="N12" s="92">
        <v>2</v>
      </c>
      <c r="O12" s="526">
        <v>4.41</v>
      </c>
      <c r="P12" s="527"/>
    </row>
    <row r="13" spans="1:23" s="19" customFormat="1" ht="21.75" customHeight="1" x14ac:dyDescent="0.25">
      <c r="A13" s="17"/>
      <c r="B13" s="507" t="s">
        <v>18</v>
      </c>
      <c r="C13" s="509" t="s">
        <v>63</v>
      </c>
      <c r="D13" s="510"/>
      <c r="E13" s="510"/>
      <c r="F13" s="511" t="s">
        <v>64</v>
      </c>
      <c r="G13" s="510"/>
      <c r="H13" s="510"/>
      <c r="I13" s="510"/>
      <c r="J13" s="511" t="s">
        <v>65</v>
      </c>
      <c r="K13" s="510"/>
      <c r="L13" s="510"/>
      <c r="M13" s="510"/>
      <c r="N13" s="512" t="s">
        <v>66</v>
      </c>
      <c r="O13" s="510"/>
      <c r="P13" s="513"/>
      <c r="Q13" s="18"/>
      <c r="R13" s="18"/>
      <c r="S13" s="18"/>
      <c r="T13" s="18"/>
      <c r="U13" s="18"/>
      <c r="V13" s="18"/>
      <c r="W13" s="18"/>
    </row>
    <row r="14" spans="1:23" s="19" customFormat="1" ht="21.75" customHeight="1" x14ac:dyDescent="0.25">
      <c r="A14" s="17"/>
      <c r="B14" s="422"/>
      <c r="C14" s="514" t="s">
        <v>67</v>
      </c>
      <c r="D14" s="515"/>
      <c r="E14" s="515"/>
      <c r="F14" s="516" t="s">
        <v>68</v>
      </c>
      <c r="G14" s="515"/>
      <c r="H14" s="515"/>
      <c r="I14" s="515"/>
      <c r="J14" s="517" t="s">
        <v>69</v>
      </c>
      <c r="K14" s="515"/>
      <c r="L14" s="515"/>
      <c r="M14" s="515"/>
      <c r="N14" s="518"/>
      <c r="O14" s="504"/>
      <c r="P14" s="424"/>
      <c r="Q14" s="18"/>
      <c r="R14" s="18"/>
      <c r="S14" s="18"/>
      <c r="T14" s="18"/>
      <c r="U14" s="18"/>
      <c r="V14" s="18"/>
      <c r="W14" s="18"/>
    </row>
    <row r="15" spans="1:23" s="19" customFormat="1" ht="21.75" customHeight="1" thickBot="1" x14ac:dyDescent="0.3">
      <c r="A15" s="17"/>
      <c r="B15" s="508"/>
      <c r="C15" s="519" t="s">
        <v>70</v>
      </c>
      <c r="D15" s="491"/>
      <c r="E15" s="491"/>
      <c r="F15" s="491" t="s">
        <v>71</v>
      </c>
      <c r="G15" s="492"/>
      <c r="H15" s="492"/>
      <c r="I15" s="492"/>
      <c r="J15" s="491" t="s">
        <v>72</v>
      </c>
      <c r="K15" s="492"/>
      <c r="L15" s="492"/>
      <c r="M15" s="492"/>
      <c r="N15" s="493"/>
      <c r="O15" s="494"/>
      <c r="P15" s="495"/>
      <c r="Q15" s="18"/>
      <c r="R15" s="18"/>
      <c r="S15" s="18"/>
      <c r="T15" s="18"/>
      <c r="U15" s="18"/>
      <c r="V15" s="18"/>
      <c r="W15" s="18"/>
    </row>
    <row r="16" spans="1:23" s="19" customFormat="1" ht="21.75" customHeight="1" x14ac:dyDescent="0.25">
      <c r="A16" s="17"/>
      <c r="B16" s="496" t="s">
        <v>19</v>
      </c>
      <c r="C16" s="498" t="s">
        <v>20</v>
      </c>
      <c r="D16" s="498" t="s">
        <v>40</v>
      </c>
      <c r="E16" s="500" t="s">
        <v>21</v>
      </c>
      <c r="F16" s="501" t="s">
        <v>41</v>
      </c>
      <c r="G16" s="502"/>
      <c r="H16" s="498" t="s">
        <v>73</v>
      </c>
      <c r="I16" s="505" t="s">
        <v>74</v>
      </c>
      <c r="J16" s="20" t="s">
        <v>42</v>
      </c>
      <c r="K16" s="21"/>
      <c r="L16" s="22" t="s">
        <v>43</v>
      </c>
      <c r="M16" s="22" t="s">
        <v>44</v>
      </c>
      <c r="N16" s="22" t="s">
        <v>44</v>
      </c>
      <c r="O16" s="22" t="s">
        <v>45</v>
      </c>
      <c r="P16" s="23" t="s">
        <v>22</v>
      </c>
    </row>
    <row r="17" spans="1:23" s="19" customFormat="1" ht="21.75" customHeight="1" thickBot="1" x14ac:dyDescent="0.3">
      <c r="A17" s="24"/>
      <c r="B17" s="497"/>
      <c r="C17" s="499"/>
      <c r="D17" s="499"/>
      <c r="E17" s="499"/>
      <c r="F17" s="503"/>
      <c r="G17" s="504"/>
      <c r="H17" s="499"/>
      <c r="I17" s="506"/>
      <c r="J17" s="25" t="s">
        <v>23</v>
      </c>
      <c r="K17" s="26" t="s">
        <v>24</v>
      </c>
      <c r="L17" s="26" t="s">
        <v>46</v>
      </c>
      <c r="M17" s="26" t="s">
        <v>47</v>
      </c>
      <c r="N17" s="26" t="s">
        <v>25</v>
      </c>
      <c r="O17" s="26" t="s">
        <v>26</v>
      </c>
      <c r="P17" s="27" t="s">
        <v>27</v>
      </c>
    </row>
    <row r="18" spans="1:23" s="36" customFormat="1" ht="21.75" customHeight="1" thickBot="1" x14ac:dyDescent="0.3">
      <c r="A18" s="28"/>
      <c r="B18" s="29"/>
      <c r="C18" s="30">
        <f>+O12</f>
        <v>4.41</v>
      </c>
      <c r="D18" s="30">
        <v>0</v>
      </c>
      <c r="E18" s="31"/>
      <c r="F18" s="32"/>
      <c r="G18" s="71"/>
      <c r="H18" s="33"/>
      <c r="I18" s="34"/>
      <c r="J18" s="70"/>
      <c r="K18" s="31"/>
      <c r="L18" s="31"/>
      <c r="M18" s="31"/>
      <c r="N18" s="31"/>
      <c r="O18" s="31"/>
      <c r="P18" s="35"/>
      <c r="Q18" s="28"/>
      <c r="R18" s="28"/>
      <c r="S18" s="28"/>
      <c r="T18" s="28"/>
      <c r="U18" s="28"/>
      <c r="V18" s="28"/>
      <c r="W18" s="28"/>
    </row>
    <row r="19" spans="1:23" s="36" customFormat="1" ht="13.5" customHeight="1" x14ac:dyDescent="0.25">
      <c r="A19" s="28"/>
      <c r="B19" s="487">
        <v>1</v>
      </c>
      <c r="C19" s="490">
        <f>+C18+$N$12</f>
        <v>6.41</v>
      </c>
      <c r="D19" s="467">
        <v>0.83499999999999996</v>
      </c>
      <c r="E19" s="467">
        <v>0.82499999999999996</v>
      </c>
      <c r="F19" s="37" t="s">
        <v>75</v>
      </c>
      <c r="G19" s="38">
        <v>0</v>
      </c>
      <c r="H19" s="39"/>
      <c r="I19" s="40"/>
      <c r="J19" s="41">
        <v>0.11</v>
      </c>
      <c r="K19" s="467">
        <f>+IF(E19&lt;=0.12,(J21),(IF(E19&lt;0.16,((J20+2*J21+J22)/4),IF(E19&gt;=0.16,((J19+3*J20+2*J21+3*J22+J23)/10)))))</f>
        <v>0.30229999999999996</v>
      </c>
      <c r="L19" s="467">
        <f>ROUND(+(D18+D19)/2*(C19-C18),3)</f>
        <v>0.83499999999999996</v>
      </c>
      <c r="M19" s="467">
        <f>ROUND(+K19*L19,4)</f>
        <v>0.25240000000000001</v>
      </c>
      <c r="N19" s="470">
        <f>ROUND(+M19/$M$108*100,2)</f>
        <v>2.39</v>
      </c>
      <c r="O19" s="471"/>
      <c r="P19" s="472"/>
      <c r="Q19" s="188"/>
      <c r="S19" s="28"/>
      <c r="T19" s="28"/>
      <c r="U19" s="28"/>
      <c r="V19" s="28"/>
      <c r="W19" s="28"/>
    </row>
    <row r="20" spans="1:23" s="36" customFormat="1" ht="13.5" customHeight="1" x14ac:dyDescent="0.25">
      <c r="A20" s="28"/>
      <c r="B20" s="488"/>
      <c r="C20" s="468"/>
      <c r="D20" s="468"/>
      <c r="E20" s="468"/>
      <c r="F20" s="42" t="s">
        <v>76</v>
      </c>
      <c r="G20" s="43">
        <f>IF(E19&lt;0.125,"NA",IF(0.125&lt;=E19,(0.2*E19)))</f>
        <v>0.16500000000000001</v>
      </c>
      <c r="H20" s="44"/>
      <c r="I20" s="45"/>
      <c r="J20" s="46">
        <v>0.106</v>
      </c>
      <c r="K20" s="468"/>
      <c r="L20" s="468"/>
      <c r="M20" s="468"/>
      <c r="N20" s="468"/>
      <c r="O20" s="468"/>
      <c r="P20" s="473"/>
      <c r="Q20" s="188"/>
      <c r="R20" s="188"/>
      <c r="S20" s="28"/>
      <c r="T20" s="28"/>
      <c r="U20" s="28"/>
      <c r="V20" s="28"/>
      <c r="W20" s="28"/>
    </row>
    <row r="21" spans="1:23" s="36" customFormat="1" ht="13.5" customHeight="1" x14ac:dyDescent="0.25">
      <c r="A21" s="28"/>
      <c r="B21" s="488"/>
      <c r="C21" s="468"/>
      <c r="D21" s="468"/>
      <c r="E21" s="468"/>
      <c r="F21" s="42" t="s">
        <v>77</v>
      </c>
      <c r="G21" s="43">
        <f>+E19*0.4</f>
        <v>0.33</v>
      </c>
      <c r="H21" s="44"/>
      <c r="I21" s="45"/>
      <c r="J21" s="46">
        <v>0.23799999999999999</v>
      </c>
      <c r="K21" s="468"/>
      <c r="L21" s="468"/>
      <c r="M21" s="468"/>
      <c r="N21" s="468"/>
      <c r="O21" s="468"/>
      <c r="P21" s="473"/>
      <c r="Q21" s="188"/>
      <c r="R21" s="188"/>
      <c r="S21" s="28"/>
      <c r="T21" s="28"/>
      <c r="U21" s="28"/>
      <c r="V21" s="28"/>
      <c r="W21" s="28"/>
    </row>
    <row r="22" spans="1:23" s="36" customFormat="1" ht="13.5" customHeight="1" x14ac:dyDescent="0.25">
      <c r="A22" s="28"/>
      <c r="B22" s="488"/>
      <c r="C22" s="468"/>
      <c r="D22" s="468"/>
      <c r="E22" s="468"/>
      <c r="F22" s="42" t="s">
        <v>78</v>
      </c>
      <c r="G22" s="43">
        <f>IF(E19&lt;0.125,"NA",IF(0.125&lt;=E19,(0.8*E19)))</f>
        <v>0.66</v>
      </c>
      <c r="H22" s="44"/>
      <c r="I22" s="45"/>
      <c r="J22" s="46">
        <v>0.54700000000000004</v>
      </c>
      <c r="K22" s="468"/>
      <c r="L22" s="468"/>
      <c r="M22" s="468"/>
      <c r="N22" s="468"/>
      <c r="O22" s="468"/>
      <c r="P22" s="473"/>
      <c r="Q22" s="188"/>
      <c r="R22" s="188"/>
      <c r="S22" s="28"/>
      <c r="T22" s="28"/>
      <c r="U22" s="28"/>
      <c r="V22" s="28"/>
      <c r="W22" s="28"/>
    </row>
    <row r="23" spans="1:23" s="36" customFormat="1" ht="13.5" customHeight="1" thickBot="1" x14ac:dyDescent="0.3">
      <c r="A23" s="28"/>
      <c r="B23" s="489"/>
      <c r="C23" s="469"/>
      <c r="D23" s="469"/>
      <c r="E23" s="469"/>
      <c r="F23" s="47" t="s">
        <v>79</v>
      </c>
      <c r="G23" s="48">
        <f>+E19</f>
        <v>0.82499999999999996</v>
      </c>
      <c r="H23" s="49"/>
      <c r="I23" s="50"/>
      <c r="J23" s="51">
        <v>0.47799999999999998</v>
      </c>
      <c r="K23" s="469"/>
      <c r="L23" s="469"/>
      <c r="M23" s="469"/>
      <c r="N23" s="469"/>
      <c r="O23" s="469"/>
      <c r="P23" s="474"/>
      <c r="Q23" s="188"/>
      <c r="R23" s="188"/>
      <c r="S23" s="28"/>
      <c r="T23" s="28"/>
      <c r="U23" s="28"/>
      <c r="V23" s="28"/>
      <c r="W23" s="28"/>
    </row>
    <row r="24" spans="1:23" s="36" customFormat="1" ht="13.5" customHeight="1" x14ac:dyDescent="0.25">
      <c r="A24" s="28"/>
      <c r="B24" s="487">
        <v>2</v>
      </c>
      <c r="C24" s="490">
        <f>+C19+$N$12</f>
        <v>8.41</v>
      </c>
      <c r="D24" s="467">
        <v>0.76400000000000001</v>
      </c>
      <c r="E24" s="467">
        <v>0.81499999999999995</v>
      </c>
      <c r="F24" s="37" t="s">
        <v>75</v>
      </c>
      <c r="G24" s="38">
        <v>0</v>
      </c>
      <c r="H24" s="39"/>
      <c r="I24" s="40"/>
      <c r="J24" s="41">
        <v>0.44</v>
      </c>
      <c r="K24" s="467">
        <f>+IF(E24&lt;=0.12,(J26),(IF(E24&lt;0.16,((J25+2*J26+J27)/4),IF(E24&gt;=0.16,((J24+3*J25+2*J26+3*J27+J28)/10)))))</f>
        <v>0.57769999999999999</v>
      </c>
      <c r="L24" s="467">
        <f>ROUND(+(D19+D24)/2*(C24-C19),3)</f>
        <v>1.599</v>
      </c>
      <c r="M24" s="467">
        <f>ROUND(+K24*L24,4)</f>
        <v>0.92369999999999997</v>
      </c>
      <c r="N24" s="470">
        <f>ROUND(+M24/$M$108*100,2)</f>
        <v>8.76</v>
      </c>
      <c r="O24" s="471"/>
      <c r="P24" s="472"/>
      <c r="Q24" s="188"/>
      <c r="S24" s="28"/>
      <c r="T24" s="28"/>
      <c r="U24" s="28"/>
      <c r="V24" s="28"/>
      <c r="W24" s="28"/>
    </row>
    <row r="25" spans="1:23" s="36" customFormat="1" ht="13.5" customHeight="1" x14ac:dyDescent="0.25">
      <c r="A25" s="28"/>
      <c r="B25" s="488"/>
      <c r="C25" s="468"/>
      <c r="D25" s="468"/>
      <c r="E25" s="468"/>
      <c r="F25" s="42" t="s">
        <v>76</v>
      </c>
      <c r="G25" s="43">
        <f t="shared" ref="G25" si="0">IF(E24&lt;0.125,"NA",IF(0.125&lt;=E24,(0.2*E24)))</f>
        <v>0.16300000000000001</v>
      </c>
      <c r="H25" s="44"/>
      <c r="I25" s="45"/>
      <c r="J25" s="46">
        <v>0.48799999999999999</v>
      </c>
      <c r="K25" s="468"/>
      <c r="L25" s="468"/>
      <c r="M25" s="468"/>
      <c r="N25" s="468"/>
      <c r="O25" s="468"/>
      <c r="P25" s="473"/>
      <c r="Q25" s="188"/>
      <c r="R25" s="188"/>
      <c r="S25" s="28"/>
      <c r="T25" s="28"/>
      <c r="U25" s="28"/>
      <c r="V25" s="28"/>
      <c r="W25" s="28"/>
    </row>
    <row r="26" spans="1:23" s="36" customFormat="1" ht="13.5" customHeight="1" x14ac:dyDescent="0.25">
      <c r="A26" s="28"/>
      <c r="B26" s="488"/>
      <c r="C26" s="468"/>
      <c r="D26" s="468"/>
      <c r="E26" s="468"/>
      <c r="F26" s="42" t="s">
        <v>77</v>
      </c>
      <c r="G26" s="43">
        <f t="shared" ref="G26" si="1">+E24*0.4</f>
        <v>0.32600000000000001</v>
      </c>
      <c r="H26" s="44"/>
      <c r="I26" s="45"/>
      <c r="J26" s="46">
        <v>0.54300000000000004</v>
      </c>
      <c r="K26" s="468"/>
      <c r="L26" s="468"/>
      <c r="M26" s="468"/>
      <c r="N26" s="468"/>
      <c r="O26" s="468"/>
      <c r="P26" s="473"/>
      <c r="Q26" s="188"/>
      <c r="R26" s="188"/>
      <c r="S26" s="28"/>
      <c r="T26" s="28"/>
      <c r="U26" s="28"/>
      <c r="V26" s="28"/>
      <c r="W26" s="28"/>
    </row>
    <row r="27" spans="1:23" s="36" customFormat="1" ht="13.5" customHeight="1" x14ac:dyDescent="0.25">
      <c r="A27" s="28"/>
      <c r="B27" s="488"/>
      <c r="C27" s="468"/>
      <c r="D27" s="468"/>
      <c r="E27" s="468"/>
      <c r="F27" s="42" t="s">
        <v>78</v>
      </c>
      <c r="G27" s="43">
        <f t="shared" ref="G27" si="2">IF(E24&lt;0.125,"NA",IF(0.125&lt;=E24,(0.8*E24)))</f>
        <v>0.65200000000000002</v>
      </c>
      <c r="H27" s="44"/>
      <c r="I27" s="45"/>
      <c r="J27" s="46">
        <v>0.69399999999999995</v>
      </c>
      <c r="K27" s="468"/>
      <c r="L27" s="468"/>
      <c r="M27" s="468"/>
      <c r="N27" s="468"/>
      <c r="O27" s="468"/>
      <c r="P27" s="473"/>
      <c r="Q27" s="188"/>
      <c r="R27" s="188"/>
      <c r="S27" s="28"/>
      <c r="T27" s="28"/>
      <c r="U27" s="28"/>
      <c r="V27" s="28"/>
      <c r="W27" s="28"/>
    </row>
    <row r="28" spans="1:23" s="36" customFormat="1" ht="13.5" customHeight="1" thickBot="1" x14ac:dyDescent="0.3">
      <c r="A28" s="28"/>
      <c r="B28" s="489"/>
      <c r="C28" s="469"/>
      <c r="D28" s="469"/>
      <c r="E28" s="469"/>
      <c r="F28" s="47" t="s">
        <v>79</v>
      </c>
      <c r="G28" s="48">
        <f t="shared" ref="G28" si="3">+E24</f>
        <v>0.81499999999999995</v>
      </c>
      <c r="H28" s="49"/>
      <c r="I28" s="50"/>
      <c r="J28" s="51">
        <v>0.70499999999999996</v>
      </c>
      <c r="K28" s="469"/>
      <c r="L28" s="469"/>
      <c r="M28" s="469"/>
      <c r="N28" s="469"/>
      <c r="O28" s="469"/>
      <c r="P28" s="474"/>
      <c r="Q28" s="188"/>
      <c r="R28" s="188"/>
      <c r="S28" s="28"/>
      <c r="T28" s="28"/>
      <c r="U28" s="28"/>
      <c r="V28" s="28"/>
      <c r="W28" s="28"/>
    </row>
    <row r="29" spans="1:23" s="36" customFormat="1" ht="13.5" customHeight="1" x14ac:dyDescent="0.25">
      <c r="A29" s="28"/>
      <c r="B29" s="487">
        <v>3</v>
      </c>
      <c r="C29" s="490">
        <f>+C24+$N$12</f>
        <v>10.41</v>
      </c>
      <c r="D29" s="467">
        <v>0.59799999999999998</v>
      </c>
      <c r="E29" s="467">
        <v>0.67700000000000005</v>
      </c>
      <c r="F29" s="37" t="s">
        <v>75</v>
      </c>
      <c r="G29" s="38">
        <v>0</v>
      </c>
      <c r="H29" s="39"/>
      <c r="I29" s="40"/>
      <c r="J29" s="41">
        <v>0.34899999999999998</v>
      </c>
      <c r="K29" s="467">
        <f t="shared" ref="K29" si="4">+IF(E29&lt;=0.12,(J31),(IF(E29&lt;0.16,((J30+2*J31+J32)/4),IF(E29&gt;=0.16,((J29+3*J30+2*J31+3*J32+J33)/10)))))</f>
        <v>0.50109999999999988</v>
      </c>
      <c r="L29" s="467">
        <f t="shared" ref="L29" si="5">ROUND(+(D24+D29)/2*(C29-C24),3)</f>
        <v>1.3620000000000001</v>
      </c>
      <c r="M29" s="467">
        <f t="shared" ref="M29" si="6">ROUND(+K29*L29,4)</f>
        <v>0.6825</v>
      </c>
      <c r="N29" s="470">
        <f t="shared" ref="N29" si="7">ROUND(+M29/$M$108*100,2)</f>
        <v>6.48</v>
      </c>
      <c r="O29" s="471"/>
      <c r="P29" s="472"/>
      <c r="Q29" s="188"/>
      <c r="S29" s="28"/>
      <c r="T29" s="28"/>
      <c r="U29" s="28"/>
      <c r="V29" s="28"/>
      <c r="W29" s="28"/>
    </row>
    <row r="30" spans="1:23" s="36" customFormat="1" ht="13.5" customHeight="1" x14ac:dyDescent="0.25">
      <c r="A30" s="28"/>
      <c r="B30" s="488"/>
      <c r="C30" s="468"/>
      <c r="D30" s="468"/>
      <c r="E30" s="468"/>
      <c r="F30" s="42" t="s">
        <v>76</v>
      </c>
      <c r="G30" s="43">
        <f t="shared" ref="G30" si="8">IF(E29&lt;0.125,"NA",IF(0.125&lt;=E29,(0.2*E29)))</f>
        <v>0.13540000000000002</v>
      </c>
      <c r="H30" s="44"/>
      <c r="I30" s="45"/>
      <c r="J30" s="46">
        <v>0.32200000000000001</v>
      </c>
      <c r="K30" s="468"/>
      <c r="L30" s="468"/>
      <c r="M30" s="468"/>
      <c r="N30" s="468"/>
      <c r="O30" s="468"/>
      <c r="P30" s="473"/>
      <c r="Q30" s="188"/>
      <c r="R30" s="188"/>
      <c r="S30" s="28"/>
      <c r="T30" s="28"/>
      <c r="U30" s="28"/>
      <c r="V30" s="28"/>
      <c r="W30" s="28"/>
    </row>
    <row r="31" spans="1:23" s="36" customFormat="1" ht="13.5" customHeight="1" x14ac:dyDescent="0.25">
      <c r="A31" s="28"/>
      <c r="B31" s="488"/>
      <c r="C31" s="468"/>
      <c r="D31" s="468"/>
      <c r="E31" s="468"/>
      <c r="F31" s="42" t="s">
        <v>77</v>
      </c>
      <c r="G31" s="43">
        <f t="shared" ref="G31" si="9">+E29*0.4</f>
        <v>0.27080000000000004</v>
      </c>
      <c r="H31" s="44"/>
      <c r="I31" s="45"/>
      <c r="J31" s="46">
        <v>0.42099999999999999</v>
      </c>
      <c r="K31" s="468"/>
      <c r="L31" s="468"/>
      <c r="M31" s="468"/>
      <c r="N31" s="468"/>
      <c r="O31" s="468"/>
      <c r="P31" s="473"/>
      <c r="Q31" s="188"/>
      <c r="R31" s="188"/>
      <c r="S31" s="28"/>
      <c r="T31" s="28"/>
      <c r="U31" s="28"/>
      <c r="V31" s="28"/>
      <c r="W31" s="28"/>
    </row>
    <row r="32" spans="1:23" s="36" customFormat="1" ht="13.5" customHeight="1" x14ac:dyDescent="0.25">
      <c r="A32" s="28"/>
      <c r="B32" s="488"/>
      <c r="C32" s="468"/>
      <c r="D32" s="468"/>
      <c r="E32" s="468"/>
      <c r="F32" s="42" t="s">
        <v>78</v>
      </c>
      <c r="G32" s="43">
        <f t="shared" ref="G32" si="10">IF(E29&lt;0.125,"NA",IF(0.125&lt;=E29,(0.8*E29)))</f>
        <v>0.54160000000000008</v>
      </c>
      <c r="H32" s="44"/>
      <c r="I32" s="45"/>
      <c r="J32" s="46">
        <v>0.71299999999999997</v>
      </c>
      <c r="K32" s="468"/>
      <c r="L32" s="468"/>
      <c r="M32" s="468"/>
      <c r="N32" s="468"/>
      <c r="O32" s="468"/>
      <c r="P32" s="473"/>
      <c r="Q32" s="188"/>
      <c r="R32" s="188"/>
      <c r="S32" s="28"/>
      <c r="T32" s="28"/>
      <c r="U32" s="28"/>
      <c r="V32" s="28"/>
      <c r="W32" s="28"/>
    </row>
    <row r="33" spans="1:23" s="36" customFormat="1" ht="13.5" customHeight="1" thickBot="1" x14ac:dyDescent="0.3">
      <c r="A33" s="28"/>
      <c r="B33" s="489"/>
      <c r="C33" s="469"/>
      <c r="D33" s="469"/>
      <c r="E33" s="469"/>
      <c r="F33" s="47" t="s">
        <v>79</v>
      </c>
      <c r="G33" s="48">
        <f t="shared" ref="G33" si="11">+E29</f>
        <v>0.67700000000000005</v>
      </c>
      <c r="H33" s="49"/>
      <c r="I33" s="50"/>
      <c r="J33" s="51">
        <v>0.71499999999999997</v>
      </c>
      <c r="K33" s="469"/>
      <c r="L33" s="469"/>
      <c r="M33" s="469"/>
      <c r="N33" s="469"/>
      <c r="O33" s="469"/>
      <c r="P33" s="474"/>
      <c r="Q33" s="188"/>
      <c r="R33" s="188"/>
      <c r="S33" s="28"/>
      <c r="T33" s="28"/>
      <c r="U33" s="28"/>
      <c r="V33" s="28"/>
      <c r="W33" s="28"/>
    </row>
    <row r="34" spans="1:23" s="36" customFormat="1" ht="13.5" customHeight="1" x14ac:dyDescent="0.25">
      <c r="A34" s="28"/>
      <c r="B34" s="487">
        <v>4</v>
      </c>
      <c r="C34" s="490">
        <f>+C29+$N$12</f>
        <v>12.41</v>
      </c>
      <c r="D34" s="467">
        <v>0.48699999999999999</v>
      </c>
      <c r="E34" s="467">
        <v>0.58099999999999996</v>
      </c>
      <c r="F34" s="37" t="s">
        <v>75</v>
      </c>
      <c r="G34" s="38">
        <v>0</v>
      </c>
      <c r="H34" s="39"/>
      <c r="I34" s="40"/>
      <c r="J34" s="41">
        <v>0.54600000000000004</v>
      </c>
      <c r="K34" s="467">
        <f t="shared" ref="K34" si="12">+IF(E34&lt;=0.12,(J36),(IF(E34&lt;0.16,((J35+2*J36+J37)/4),IF(E34&gt;=0.16,((J34+3*J35+2*J36+3*J37+J38)/10)))))</f>
        <v>0.74130000000000007</v>
      </c>
      <c r="L34" s="467">
        <f t="shared" ref="L34" si="13">ROUND(+(D29+D34)/2*(C34-C29),3)</f>
        <v>1.085</v>
      </c>
      <c r="M34" s="467">
        <f t="shared" ref="M34" si="14">ROUND(+K34*L34,4)</f>
        <v>0.80430000000000001</v>
      </c>
      <c r="N34" s="470">
        <f t="shared" ref="N34" si="15">ROUND(+M34/$M$108*100,2)</f>
        <v>7.63</v>
      </c>
      <c r="O34" s="471"/>
      <c r="P34" s="472"/>
      <c r="Q34" s="188"/>
      <c r="S34" s="28"/>
      <c r="T34" s="28"/>
      <c r="U34" s="28"/>
      <c r="V34" s="28"/>
      <c r="W34" s="28"/>
    </row>
    <row r="35" spans="1:23" s="36" customFormat="1" ht="13.5" customHeight="1" x14ac:dyDescent="0.25">
      <c r="A35" s="28"/>
      <c r="B35" s="488"/>
      <c r="C35" s="468"/>
      <c r="D35" s="468"/>
      <c r="E35" s="468"/>
      <c r="F35" s="42" t="s">
        <v>76</v>
      </c>
      <c r="G35" s="43">
        <f t="shared" ref="G35" si="16">IF(E34&lt;0.125,"NA",IF(0.125&lt;=E34,(0.2*E34)))</f>
        <v>0.1162</v>
      </c>
      <c r="H35" s="44"/>
      <c r="I35" s="45"/>
      <c r="J35" s="46">
        <v>0.69799999999999995</v>
      </c>
      <c r="K35" s="468"/>
      <c r="L35" s="468"/>
      <c r="M35" s="468"/>
      <c r="N35" s="468"/>
      <c r="O35" s="468"/>
      <c r="P35" s="473"/>
      <c r="Q35" s="188"/>
      <c r="R35" s="188"/>
      <c r="S35" s="28"/>
      <c r="T35" s="28"/>
      <c r="U35" s="28"/>
      <c r="V35" s="28"/>
      <c r="W35" s="28"/>
    </row>
    <row r="36" spans="1:23" s="36" customFormat="1" ht="13.5" customHeight="1" x14ac:dyDescent="0.25">
      <c r="A36" s="28"/>
      <c r="B36" s="488"/>
      <c r="C36" s="468"/>
      <c r="D36" s="468"/>
      <c r="E36" s="468"/>
      <c r="F36" s="42" t="s">
        <v>77</v>
      </c>
      <c r="G36" s="43">
        <f t="shared" ref="G36" si="17">+E34*0.4</f>
        <v>0.2324</v>
      </c>
      <c r="H36" s="44"/>
      <c r="I36" s="45"/>
      <c r="J36" s="46">
        <v>0.69699999999999995</v>
      </c>
      <c r="K36" s="468"/>
      <c r="L36" s="468"/>
      <c r="M36" s="468"/>
      <c r="N36" s="468"/>
      <c r="O36" s="468"/>
      <c r="P36" s="473"/>
      <c r="Q36" s="188"/>
      <c r="R36" s="188"/>
      <c r="S36" s="28"/>
      <c r="T36" s="28"/>
      <c r="U36" s="28"/>
      <c r="V36" s="28"/>
      <c r="W36" s="28"/>
    </row>
    <row r="37" spans="1:23" s="36" customFormat="1" ht="13.5" customHeight="1" x14ac:dyDescent="0.25">
      <c r="A37" s="28"/>
      <c r="B37" s="488"/>
      <c r="C37" s="468"/>
      <c r="D37" s="468"/>
      <c r="E37" s="468"/>
      <c r="F37" s="42" t="s">
        <v>78</v>
      </c>
      <c r="G37" s="43">
        <f t="shared" ref="G37" si="18">IF(E34&lt;0.125,"NA",IF(0.125&lt;=E34,(0.8*E34)))</f>
        <v>0.46479999999999999</v>
      </c>
      <c r="H37" s="44"/>
      <c r="I37" s="45"/>
      <c r="J37" s="46">
        <v>0.85299999999999998</v>
      </c>
      <c r="K37" s="468"/>
      <c r="L37" s="468"/>
      <c r="M37" s="468"/>
      <c r="N37" s="468"/>
      <c r="O37" s="468"/>
      <c r="P37" s="473"/>
      <c r="Q37" s="188"/>
      <c r="R37" s="188"/>
      <c r="S37" s="28"/>
      <c r="T37" s="28"/>
      <c r="U37" s="28"/>
      <c r="V37" s="28"/>
      <c r="W37" s="28"/>
    </row>
    <row r="38" spans="1:23" s="36" customFormat="1" ht="13.5" customHeight="1" thickBot="1" x14ac:dyDescent="0.3">
      <c r="A38" s="28"/>
      <c r="B38" s="489"/>
      <c r="C38" s="469"/>
      <c r="D38" s="469"/>
      <c r="E38" s="469"/>
      <c r="F38" s="47" t="s">
        <v>79</v>
      </c>
      <c r="G38" s="48">
        <f t="shared" ref="G38" si="19">+E34</f>
        <v>0.58099999999999996</v>
      </c>
      <c r="H38" s="49"/>
      <c r="I38" s="50"/>
      <c r="J38" s="51">
        <v>0.82</v>
      </c>
      <c r="K38" s="469"/>
      <c r="L38" s="469"/>
      <c r="M38" s="469"/>
      <c r="N38" s="469"/>
      <c r="O38" s="469"/>
      <c r="P38" s="474"/>
      <c r="Q38" s="188"/>
      <c r="R38" s="188"/>
      <c r="S38" s="28"/>
      <c r="T38" s="28"/>
      <c r="U38" s="28"/>
      <c r="V38" s="28"/>
      <c r="W38" s="28"/>
    </row>
    <row r="39" spans="1:23" s="36" customFormat="1" ht="13.5" customHeight="1" x14ac:dyDescent="0.25">
      <c r="A39" s="28"/>
      <c r="B39" s="487">
        <v>5</v>
      </c>
      <c r="C39" s="490">
        <f>+C34+$N$12</f>
        <v>14.41</v>
      </c>
      <c r="D39" s="467">
        <v>0.46100000000000002</v>
      </c>
      <c r="E39" s="467">
        <v>0.45700000000000002</v>
      </c>
      <c r="F39" s="37" t="s">
        <v>75</v>
      </c>
      <c r="G39" s="38">
        <v>0</v>
      </c>
      <c r="H39" s="39"/>
      <c r="I39" s="40"/>
      <c r="J39" s="41">
        <v>0.53500000000000003</v>
      </c>
      <c r="K39" s="467">
        <f t="shared" ref="K39" si="20">+IF(E39&lt;=0.12,(J41),(IF(E39&lt;0.16,((J40+2*J41+J42)/4),IF(E39&gt;=0.16,((J39+3*J40+2*J41+3*J42+J43)/10)))))</f>
        <v>0.73960000000000004</v>
      </c>
      <c r="L39" s="467">
        <f t="shared" ref="L39" si="21">ROUND(+(D34+D39)/2*(C39-C34),3)</f>
        <v>0.94799999999999995</v>
      </c>
      <c r="M39" s="467">
        <f t="shared" ref="M39" si="22">ROUND(+K39*L39,4)</f>
        <v>0.70109999999999995</v>
      </c>
      <c r="N39" s="470">
        <f t="shared" ref="N39" si="23">ROUND(+M39/$M$108*100,2)</f>
        <v>6.65</v>
      </c>
      <c r="O39" s="471"/>
      <c r="P39" s="472"/>
      <c r="Q39" s="188"/>
      <c r="S39" s="28"/>
      <c r="T39" s="28"/>
      <c r="U39" s="28"/>
      <c r="V39" s="28"/>
      <c r="W39" s="28"/>
    </row>
    <row r="40" spans="1:23" s="36" customFormat="1" ht="13.5" customHeight="1" x14ac:dyDescent="0.25">
      <c r="A40" s="28"/>
      <c r="B40" s="488"/>
      <c r="C40" s="468"/>
      <c r="D40" s="468"/>
      <c r="E40" s="468"/>
      <c r="F40" s="42" t="s">
        <v>76</v>
      </c>
      <c r="G40" s="43">
        <f t="shared" ref="G40" si="24">IF(E39&lt;0.125,"NA",IF(0.125&lt;=E39,(0.2*E39)))</f>
        <v>9.1400000000000009E-2</v>
      </c>
      <c r="H40" s="44"/>
      <c r="I40" s="45"/>
      <c r="J40" s="46">
        <v>0.67700000000000005</v>
      </c>
      <c r="K40" s="468"/>
      <c r="L40" s="468"/>
      <c r="M40" s="468"/>
      <c r="N40" s="468"/>
      <c r="O40" s="468"/>
      <c r="P40" s="473"/>
      <c r="Q40" s="188"/>
      <c r="R40" s="188"/>
      <c r="S40" s="28"/>
      <c r="T40" s="28"/>
      <c r="U40" s="28"/>
      <c r="V40" s="28"/>
      <c r="W40" s="28"/>
    </row>
    <row r="41" spans="1:23" s="36" customFormat="1" ht="13.5" customHeight="1" x14ac:dyDescent="0.25">
      <c r="A41" s="28"/>
      <c r="B41" s="488"/>
      <c r="C41" s="468"/>
      <c r="D41" s="468"/>
      <c r="E41" s="468"/>
      <c r="F41" s="42" t="s">
        <v>77</v>
      </c>
      <c r="G41" s="43">
        <f t="shared" ref="G41" si="25">+E39*0.4</f>
        <v>0.18280000000000002</v>
      </c>
      <c r="H41" s="44"/>
      <c r="I41" s="45"/>
      <c r="J41" s="46">
        <v>0.76700000000000002</v>
      </c>
      <c r="K41" s="468"/>
      <c r="L41" s="468"/>
      <c r="M41" s="468"/>
      <c r="N41" s="468"/>
      <c r="O41" s="468"/>
      <c r="P41" s="473"/>
      <c r="Q41" s="188"/>
      <c r="R41" s="188"/>
      <c r="S41" s="28"/>
      <c r="T41" s="28"/>
      <c r="U41" s="28"/>
      <c r="V41" s="28"/>
      <c r="W41" s="28"/>
    </row>
    <row r="42" spans="1:23" s="36" customFormat="1" ht="13.5" customHeight="1" x14ac:dyDescent="0.25">
      <c r="A42" s="28"/>
      <c r="B42" s="488"/>
      <c r="C42" s="468"/>
      <c r="D42" s="468"/>
      <c r="E42" s="468"/>
      <c r="F42" s="42" t="s">
        <v>78</v>
      </c>
      <c r="G42" s="43">
        <f t="shared" ref="G42" si="26">IF(E39&lt;0.125,"NA",IF(0.125&lt;=E39,(0.8*E39)))</f>
        <v>0.36560000000000004</v>
      </c>
      <c r="H42" s="44"/>
      <c r="I42" s="45"/>
      <c r="J42" s="46">
        <v>0.82</v>
      </c>
      <c r="K42" s="468"/>
      <c r="L42" s="468"/>
      <c r="M42" s="468"/>
      <c r="N42" s="468"/>
      <c r="O42" s="468"/>
      <c r="P42" s="473"/>
      <c r="Q42" s="188"/>
      <c r="R42" s="188"/>
      <c r="S42" s="28"/>
      <c r="T42" s="28"/>
      <c r="U42" s="28"/>
      <c r="V42" s="28"/>
      <c r="W42" s="28"/>
    </row>
    <row r="43" spans="1:23" s="36" customFormat="1" ht="13.5" customHeight="1" thickBot="1" x14ac:dyDescent="0.3">
      <c r="A43" s="28"/>
      <c r="B43" s="489"/>
      <c r="C43" s="469"/>
      <c r="D43" s="469"/>
      <c r="E43" s="469"/>
      <c r="F43" s="47" t="s">
        <v>79</v>
      </c>
      <c r="G43" s="48">
        <f t="shared" ref="G43" si="27">+E39</f>
        <v>0.45700000000000002</v>
      </c>
      <c r="H43" s="49"/>
      <c r="I43" s="50"/>
      <c r="J43" s="51">
        <v>0.83599999999999997</v>
      </c>
      <c r="K43" s="469"/>
      <c r="L43" s="469"/>
      <c r="M43" s="469"/>
      <c r="N43" s="469"/>
      <c r="O43" s="469"/>
      <c r="P43" s="474"/>
      <c r="Q43" s="188"/>
      <c r="R43" s="188"/>
      <c r="S43" s="28"/>
      <c r="T43" s="28"/>
      <c r="U43" s="28"/>
      <c r="V43" s="28"/>
      <c r="W43" s="28"/>
    </row>
    <row r="44" spans="1:23" s="36" customFormat="1" ht="13.5" customHeight="1" x14ac:dyDescent="0.25">
      <c r="A44" s="28"/>
      <c r="B44" s="487">
        <v>6</v>
      </c>
      <c r="C44" s="490">
        <f>+C39+$N$12</f>
        <v>16.41</v>
      </c>
      <c r="D44" s="467">
        <v>0.51800000000000002</v>
      </c>
      <c r="E44" s="467">
        <v>0.51700000000000002</v>
      </c>
      <c r="F44" s="37" t="s">
        <v>75</v>
      </c>
      <c r="G44" s="38">
        <v>0</v>
      </c>
      <c r="H44" s="39"/>
      <c r="I44" s="40"/>
      <c r="J44" s="41">
        <v>0.312</v>
      </c>
      <c r="K44" s="467">
        <f t="shared" ref="K44" si="28">+IF(E44&lt;=0.12,(J46),(IF(E44&lt;0.16,((J45+2*J46+J47)/4),IF(E44&gt;=0.16,((J44+3*J45+2*J46+3*J47+J48)/10)))))</f>
        <v>0.74329999999999996</v>
      </c>
      <c r="L44" s="467">
        <f t="shared" ref="L44" si="29">ROUND(+(D39+D44)/2*(C44-C39),3)</f>
        <v>0.97899999999999998</v>
      </c>
      <c r="M44" s="467">
        <f t="shared" ref="M44" si="30">ROUND(+K44*L44,4)</f>
        <v>0.72770000000000001</v>
      </c>
      <c r="N44" s="470">
        <f t="shared" ref="N44" si="31">ROUND(+M44/$M$108*100,2)</f>
        <v>6.9</v>
      </c>
      <c r="O44" s="471"/>
      <c r="P44" s="472"/>
      <c r="Q44" s="188"/>
      <c r="S44" s="28"/>
      <c r="T44" s="28"/>
      <c r="U44" s="28"/>
      <c r="V44" s="28"/>
      <c r="W44" s="28"/>
    </row>
    <row r="45" spans="1:23" s="36" customFormat="1" ht="13.5" customHeight="1" x14ac:dyDescent="0.25">
      <c r="A45" s="28"/>
      <c r="B45" s="488"/>
      <c r="C45" s="468"/>
      <c r="D45" s="468"/>
      <c r="E45" s="468"/>
      <c r="F45" s="42" t="s">
        <v>76</v>
      </c>
      <c r="G45" s="43">
        <f t="shared" ref="G45" si="32">IF(E44&lt;0.125,"NA",IF(0.125&lt;=E44,(0.2*E44)))</f>
        <v>0.10340000000000001</v>
      </c>
      <c r="H45" s="44"/>
      <c r="I45" s="45"/>
      <c r="J45" s="46">
        <v>0.53100000000000003</v>
      </c>
      <c r="K45" s="468"/>
      <c r="L45" s="468"/>
      <c r="M45" s="468"/>
      <c r="N45" s="468"/>
      <c r="O45" s="468"/>
      <c r="P45" s="473"/>
      <c r="Q45" s="188"/>
      <c r="R45" s="188"/>
      <c r="S45" s="28"/>
      <c r="T45" s="28"/>
      <c r="U45" s="28"/>
      <c r="V45" s="28"/>
      <c r="W45" s="28"/>
    </row>
    <row r="46" spans="1:23" s="36" customFormat="1" ht="13.5" customHeight="1" x14ac:dyDescent="0.25">
      <c r="A46" s="28"/>
      <c r="B46" s="488"/>
      <c r="C46" s="468"/>
      <c r="D46" s="468"/>
      <c r="E46" s="468"/>
      <c r="F46" s="42" t="s">
        <v>77</v>
      </c>
      <c r="G46" s="43">
        <f t="shared" ref="G46" si="33">+E44*0.4</f>
        <v>0.20680000000000001</v>
      </c>
      <c r="H46" s="44"/>
      <c r="I46" s="45"/>
      <c r="J46" s="46">
        <v>0.87</v>
      </c>
      <c r="K46" s="468"/>
      <c r="L46" s="468"/>
      <c r="M46" s="468"/>
      <c r="N46" s="468"/>
      <c r="O46" s="468"/>
      <c r="P46" s="473"/>
      <c r="Q46" s="188"/>
      <c r="R46" s="188"/>
      <c r="S46" s="28"/>
      <c r="T46" s="28"/>
      <c r="U46" s="28"/>
      <c r="V46" s="28"/>
      <c r="W46" s="28"/>
    </row>
    <row r="47" spans="1:23" s="36" customFormat="1" ht="13.5" customHeight="1" x14ac:dyDescent="0.25">
      <c r="A47" s="28"/>
      <c r="B47" s="488"/>
      <c r="C47" s="468"/>
      <c r="D47" s="468"/>
      <c r="E47" s="468"/>
      <c r="F47" s="42" t="s">
        <v>78</v>
      </c>
      <c r="G47" s="43">
        <f t="shared" ref="G47" si="34">IF(E44&lt;0.125,"NA",IF(0.125&lt;=E44,(0.8*E44)))</f>
        <v>0.41360000000000002</v>
      </c>
      <c r="H47" s="44"/>
      <c r="I47" s="45"/>
      <c r="J47" s="46">
        <v>0.95899999999999996</v>
      </c>
      <c r="K47" s="468"/>
      <c r="L47" s="468"/>
      <c r="M47" s="468"/>
      <c r="N47" s="468"/>
      <c r="O47" s="468"/>
      <c r="P47" s="473"/>
      <c r="Q47" s="188"/>
      <c r="R47" s="188"/>
      <c r="S47" s="28"/>
      <c r="T47" s="28"/>
      <c r="U47" s="28"/>
      <c r="V47" s="28"/>
      <c r="W47" s="28"/>
    </row>
    <row r="48" spans="1:23" s="36" customFormat="1" ht="13.5" customHeight="1" thickBot="1" x14ac:dyDescent="0.3">
      <c r="A48" s="28"/>
      <c r="B48" s="489"/>
      <c r="C48" s="469"/>
      <c r="D48" s="469"/>
      <c r="E48" s="469"/>
      <c r="F48" s="47" t="s">
        <v>79</v>
      </c>
      <c r="G48" s="48">
        <f t="shared" ref="G48" si="35">+E44</f>
        <v>0.51700000000000002</v>
      </c>
      <c r="H48" s="49"/>
      <c r="I48" s="50"/>
      <c r="J48" s="51">
        <v>0.91100000000000003</v>
      </c>
      <c r="K48" s="469"/>
      <c r="L48" s="469"/>
      <c r="M48" s="469"/>
      <c r="N48" s="469"/>
      <c r="O48" s="469"/>
      <c r="P48" s="474"/>
      <c r="Q48" s="188"/>
      <c r="R48" s="188"/>
      <c r="S48" s="28"/>
      <c r="T48" s="28"/>
      <c r="U48" s="28"/>
      <c r="V48" s="28"/>
      <c r="W48" s="28"/>
    </row>
    <row r="49" spans="1:23" s="36" customFormat="1" ht="13.5" customHeight="1" x14ac:dyDescent="0.25">
      <c r="A49" s="28"/>
      <c r="B49" s="487">
        <v>7</v>
      </c>
      <c r="C49" s="490">
        <f>+C44+$N$12</f>
        <v>18.41</v>
      </c>
      <c r="D49" s="467">
        <v>0.45800000000000002</v>
      </c>
      <c r="E49" s="467">
        <v>0.47299999999999998</v>
      </c>
      <c r="F49" s="37" t="s">
        <v>75</v>
      </c>
      <c r="G49" s="38">
        <v>0</v>
      </c>
      <c r="H49" s="39"/>
      <c r="I49" s="40"/>
      <c r="J49" s="41">
        <v>0.51800000000000002</v>
      </c>
      <c r="K49" s="467">
        <f t="shared" ref="K49" si="36">+IF(E49&lt;=0.12,(J51),(IF(E49&lt;0.16,((J50+2*J51+J52)/4),IF(E49&gt;=0.16,((J49+3*J50+2*J51+3*J52+J53)/10)))))</f>
        <v>0.77859999999999996</v>
      </c>
      <c r="L49" s="467">
        <f t="shared" ref="L49" si="37">ROUND(+(D44+D49)/2*(C49-C44),3)</f>
        <v>0.97599999999999998</v>
      </c>
      <c r="M49" s="467">
        <f t="shared" ref="M49" si="38">ROUND(+K49*L49,4)</f>
        <v>0.75990000000000002</v>
      </c>
      <c r="N49" s="470">
        <f t="shared" ref="N49" si="39">ROUND(+M49/$M$108*100,2)</f>
        <v>7.21</v>
      </c>
      <c r="O49" s="471"/>
      <c r="P49" s="472"/>
      <c r="Q49" s="188"/>
      <c r="S49" s="28"/>
      <c r="T49" s="28"/>
      <c r="U49" s="28"/>
      <c r="V49" s="28"/>
      <c r="W49" s="28"/>
    </row>
    <row r="50" spans="1:23" s="36" customFormat="1" ht="13.5" customHeight="1" x14ac:dyDescent="0.25">
      <c r="A50" s="28"/>
      <c r="B50" s="488"/>
      <c r="C50" s="468"/>
      <c r="D50" s="468"/>
      <c r="E50" s="468"/>
      <c r="F50" s="42" t="s">
        <v>76</v>
      </c>
      <c r="G50" s="43">
        <f t="shared" ref="G50" si="40">IF(E49&lt;0.125,"NA",IF(0.125&lt;=E49,(0.2*E49)))</f>
        <v>9.4600000000000004E-2</v>
      </c>
      <c r="H50" s="44"/>
      <c r="I50" s="45"/>
      <c r="J50" s="46">
        <v>0.752</v>
      </c>
      <c r="K50" s="468"/>
      <c r="L50" s="468"/>
      <c r="M50" s="468"/>
      <c r="N50" s="468"/>
      <c r="O50" s="468"/>
      <c r="P50" s="473"/>
      <c r="Q50" s="188"/>
      <c r="R50" s="188"/>
      <c r="S50" s="28"/>
      <c r="T50" s="28"/>
      <c r="U50" s="28"/>
      <c r="V50" s="28"/>
      <c r="W50" s="28"/>
    </row>
    <row r="51" spans="1:23" s="36" customFormat="1" ht="13.5" customHeight="1" x14ac:dyDescent="0.25">
      <c r="A51" s="28"/>
      <c r="B51" s="488"/>
      <c r="C51" s="468"/>
      <c r="D51" s="468"/>
      <c r="E51" s="468"/>
      <c r="F51" s="42" t="s">
        <v>77</v>
      </c>
      <c r="G51" s="43">
        <f t="shared" ref="G51" si="41">+E49*0.4</f>
        <v>0.18920000000000001</v>
      </c>
      <c r="H51" s="44"/>
      <c r="I51" s="45"/>
      <c r="J51" s="46">
        <v>0.75900000000000001</v>
      </c>
      <c r="K51" s="468"/>
      <c r="L51" s="468"/>
      <c r="M51" s="468"/>
      <c r="N51" s="468"/>
      <c r="O51" s="468"/>
      <c r="P51" s="473"/>
      <c r="Q51" s="188"/>
      <c r="R51" s="188"/>
      <c r="S51" s="28"/>
      <c r="T51" s="28"/>
      <c r="U51" s="28"/>
      <c r="V51" s="28"/>
      <c r="W51" s="28"/>
    </row>
    <row r="52" spans="1:23" s="36" customFormat="1" ht="13.5" customHeight="1" x14ac:dyDescent="0.25">
      <c r="A52" s="28"/>
      <c r="B52" s="488"/>
      <c r="C52" s="468"/>
      <c r="D52" s="468"/>
      <c r="E52" s="468"/>
      <c r="F52" s="42" t="s">
        <v>78</v>
      </c>
      <c r="G52" s="43">
        <f t="shared" ref="G52" si="42">IF(E49&lt;0.125,"NA",IF(0.125&lt;=E49,(0.8*E49)))</f>
        <v>0.37840000000000001</v>
      </c>
      <c r="H52" s="44"/>
      <c r="I52" s="45"/>
      <c r="J52" s="46">
        <v>0.88300000000000001</v>
      </c>
      <c r="K52" s="468"/>
      <c r="L52" s="468"/>
      <c r="M52" s="468"/>
      <c r="N52" s="468"/>
      <c r="O52" s="468"/>
      <c r="P52" s="473"/>
      <c r="Q52" s="188"/>
      <c r="R52" s="188"/>
      <c r="S52" s="28"/>
      <c r="T52" s="28"/>
      <c r="U52" s="28"/>
      <c r="V52" s="28"/>
      <c r="W52" s="28"/>
    </row>
    <row r="53" spans="1:23" s="36" customFormat="1" ht="13.5" customHeight="1" thickBot="1" x14ac:dyDescent="0.3">
      <c r="A53" s="28"/>
      <c r="B53" s="489"/>
      <c r="C53" s="469"/>
      <c r="D53" s="469"/>
      <c r="E53" s="469"/>
      <c r="F53" s="47" t="s">
        <v>79</v>
      </c>
      <c r="G53" s="48">
        <f t="shared" ref="G53" si="43">+E49</f>
        <v>0.47299999999999998</v>
      </c>
      <c r="H53" s="49"/>
      <c r="I53" s="50"/>
      <c r="J53" s="51">
        <v>0.84499999999999997</v>
      </c>
      <c r="K53" s="469"/>
      <c r="L53" s="469"/>
      <c r="M53" s="469"/>
      <c r="N53" s="469"/>
      <c r="O53" s="469"/>
      <c r="P53" s="474"/>
      <c r="Q53" s="188"/>
      <c r="R53" s="188"/>
      <c r="S53" s="28"/>
      <c r="T53" s="28"/>
      <c r="U53" s="28"/>
      <c r="V53" s="28"/>
      <c r="W53" s="28"/>
    </row>
    <row r="54" spans="1:23" s="36" customFormat="1" ht="13.5" customHeight="1" x14ac:dyDescent="0.25">
      <c r="A54" s="28"/>
      <c r="B54" s="487">
        <v>8</v>
      </c>
      <c r="C54" s="490">
        <f>+C49+$N$12</f>
        <v>20.41</v>
      </c>
      <c r="D54" s="467">
        <v>0.59399999999999997</v>
      </c>
      <c r="E54" s="467">
        <v>0.52500000000000002</v>
      </c>
      <c r="F54" s="37" t="s">
        <v>75</v>
      </c>
      <c r="G54" s="38">
        <v>0</v>
      </c>
      <c r="H54" s="39"/>
      <c r="I54" s="40"/>
      <c r="J54" s="41">
        <v>0.50700000000000001</v>
      </c>
      <c r="K54" s="467">
        <f t="shared" ref="K54" si="44">+IF(E54&lt;=0.12,(J56),(IF(E54&lt;0.16,((J55+2*J56+J57)/4),IF(E54&gt;=0.16,((J54+3*J55+2*J56+3*J57+J58)/10)))))</f>
        <v>0.79180000000000006</v>
      </c>
      <c r="L54" s="467">
        <f t="shared" ref="L54" si="45">ROUND(+(D49+D54)/2*(C54-C49),3)</f>
        <v>1.052</v>
      </c>
      <c r="M54" s="467">
        <f t="shared" ref="M54" si="46">ROUND(+K54*L54,4)</f>
        <v>0.83299999999999996</v>
      </c>
      <c r="N54" s="470">
        <f t="shared" ref="N54" si="47">ROUND(+M54/$M$108*100,2)</f>
        <v>7.9</v>
      </c>
      <c r="O54" s="471"/>
      <c r="P54" s="472"/>
      <c r="Q54" s="188"/>
      <c r="S54" s="28"/>
      <c r="T54" s="28"/>
      <c r="U54" s="28"/>
      <c r="V54" s="28"/>
      <c r="W54" s="28"/>
    </row>
    <row r="55" spans="1:23" s="36" customFormat="1" ht="13.5" customHeight="1" x14ac:dyDescent="0.25">
      <c r="A55" s="28"/>
      <c r="B55" s="488"/>
      <c r="C55" s="468"/>
      <c r="D55" s="468"/>
      <c r="E55" s="468"/>
      <c r="F55" s="42" t="s">
        <v>76</v>
      </c>
      <c r="G55" s="43">
        <f t="shared" ref="G55" si="48">IF(E54&lt;0.125,"NA",IF(0.125&lt;=E54,(0.2*E54)))</f>
        <v>0.10500000000000001</v>
      </c>
      <c r="H55" s="44"/>
      <c r="I55" s="45"/>
      <c r="J55" s="46">
        <v>0.64600000000000002</v>
      </c>
      <c r="K55" s="468"/>
      <c r="L55" s="468"/>
      <c r="M55" s="468"/>
      <c r="N55" s="468"/>
      <c r="O55" s="468"/>
      <c r="P55" s="473"/>
      <c r="Q55" s="188"/>
      <c r="R55" s="188"/>
      <c r="S55" s="28"/>
      <c r="T55" s="28"/>
      <c r="U55" s="28"/>
      <c r="V55" s="28"/>
      <c r="W55" s="28"/>
    </row>
    <row r="56" spans="1:23" s="36" customFormat="1" ht="13.5" customHeight="1" x14ac:dyDescent="0.25">
      <c r="A56" s="28"/>
      <c r="B56" s="488"/>
      <c r="C56" s="468"/>
      <c r="D56" s="468"/>
      <c r="E56" s="468"/>
      <c r="F56" s="42" t="s">
        <v>77</v>
      </c>
      <c r="G56" s="43">
        <f t="shared" ref="G56" si="49">+E54*0.4</f>
        <v>0.21000000000000002</v>
      </c>
      <c r="H56" s="44"/>
      <c r="I56" s="45"/>
      <c r="J56" s="46">
        <v>0.89400000000000002</v>
      </c>
      <c r="K56" s="468"/>
      <c r="L56" s="468"/>
      <c r="M56" s="468"/>
      <c r="N56" s="468"/>
      <c r="O56" s="468"/>
      <c r="P56" s="473"/>
      <c r="Q56" s="188"/>
      <c r="R56" s="188"/>
      <c r="S56" s="28"/>
      <c r="T56" s="28"/>
      <c r="U56" s="28"/>
      <c r="V56" s="28"/>
      <c r="W56" s="28"/>
    </row>
    <row r="57" spans="1:23" s="36" customFormat="1" ht="13.5" customHeight="1" x14ac:dyDescent="0.25">
      <c r="A57" s="28"/>
      <c r="B57" s="488"/>
      <c r="C57" s="468"/>
      <c r="D57" s="468"/>
      <c r="E57" s="468"/>
      <c r="F57" s="42" t="s">
        <v>78</v>
      </c>
      <c r="G57" s="43">
        <f t="shared" ref="G57" si="50">IF(E54&lt;0.125,"NA",IF(0.125&lt;=E54,(0.8*E54)))</f>
        <v>0.42000000000000004</v>
      </c>
      <c r="H57" s="44"/>
      <c r="I57" s="45"/>
      <c r="J57" s="46">
        <v>0.91300000000000003</v>
      </c>
      <c r="K57" s="468"/>
      <c r="L57" s="468"/>
      <c r="M57" s="468"/>
      <c r="N57" s="468"/>
      <c r="O57" s="468"/>
      <c r="P57" s="473"/>
      <c r="Q57" s="188"/>
      <c r="R57" s="188"/>
      <c r="S57" s="28"/>
      <c r="T57" s="28"/>
      <c r="U57" s="28"/>
      <c r="V57" s="28"/>
      <c r="W57" s="28"/>
    </row>
    <row r="58" spans="1:23" s="36" customFormat="1" ht="13.5" customHeight="1" thickBot="1" x14ac:dyDescent="0.3">
      <c r="A58" s="28"/>
      <c r="B58" s="489"/>
      <c r="C58" s="469"/>
      <c r="D58" s="469"/>
      <c r="E58" s="469"/>
      <c r="F58" s="47" t="s">
        <v>79</v>
      </c>
      <c r="G58" s="48">
        <f t="shared" ref="G58" si="51">+E54</f>
        <v>0.52500000000000002</v>
      </c>
      <c r="H58" s="49"/>
      <c r="I58" s="50"/>
      <c r="J58" s="51">
        <v>0.94599999999999995</v>
      </c>
      <c r="K58" s="469"/>
      <c r="L58" s="469"/>
      <c r="M58" s="469"/>
      <c r="N58" s="469"/>
      <c r="O58" s="469"/>
      <c r="P58" s="474"/>
      <c r="Q58" s="188"/>
      <c r="R58" s="188"/>
      <c r="S58" s="28"/>
      <c r="T58" s="28"/>
      <c r="U58" s="28"/>
      <c r="V58" s="28"/>
      <c r="W58" s="28"/>
    </row>
    <row r="59" spans="1:23" s="36" customFormat="1" ht="13.5" customHeight="1" x14ac:dyDescent="0.25">
      <c r="A59" s="28"/>
      <c r="B59" s="487">
        <v>9</v>
      </c>
      <c r="C59" s="490">
        <f>+C54+$N$12</f>
        <v>22.41</v>
      </c>
      <c r="D59" s="467">
        <v>0.68500000000000005</v>
      </c>
      <c r="E59" s="467">
        <v>0.68400000000000005</v>
      </c>
      <c r="F59" s="37" t="s">
        <v>75</v>
      </c>
      <c r="G59" s="38">
        <v>0</v>
      </c>
      <c r="H59" s="39"/>
      <c r="I59" s="40"/>
      <c r="J59" s="41">
        <v>0.502</v>
      </c>
      <c r="K59" s="467">
        <f t="shared" ref="K59" si="52">+IF(E59&lt;=0.12,(J61),(IF(E59&lt;0.16,((J60+2*J61+J62)/4),IF(E59&gt;=0.16,((J59+3*J60+2*J61+3*J62+J63)/10)))))</f>
        <v>0.627</v>
      </c>
      <c r="L59" s="467">
        <f t="shared" ref="L59" si="53">ROUND(+(D54+D59)/2*(C59-C54),3)</f>
        <v>1.2789999999999999</v>
      </c>
      <c r="M59" s="467">
        <f t="shared" ref="M59" si="54">ROUND(+K59*L59,4)</f>
        <v>0.80189999999999995</v>
      </c>
      <c r="N59" s="470">
        <f t="shared" ref="N59" si="55">ROUND(+M59/$M$108*100,2)</f>
        <v>7.61</v>
      </c>
      <c r="O59" s="471"/>
      <c r="P59" s="472"/>
      <c r="Q59" s="188"/>
      <c r="S59" s="28"/>
      <c r="T59" s="28"/>
      <c r="U59" s="28"/>
      <c r="V59" s="28"/>
      <c r="W59" s="28"/>
    </row>
    <row r="60" spans="1:23" s="36" customFormat="1" ht="13.5" customHeight="1" x14ac:dyDescent="0.25">
      <c r="A60" s="28"/>
      <c r="B60" s="488"/>
      <c r="C60" s="468"/>
      <c r="D60" s="468"/>
      <c r="E60" s="468"/>
      <c r="F60" s="42" t="s">
        <v>76</v>
      </c>
      <c r="G60" s="43">
        <f t="shared" ref="G60" si="56">IF(E59&lt;0.125,"NA",IF(0.125&lt;=E59,(0.2*E59)))</f>
        <v>0.1368</v>
      </c>
      <c r="H60" s="44"/>
      <c r="I60" s="45"/>
      <c r="J60" s="46">
        <v>0.33700000000000002</v>
      </c>
      <c r="K60" s="468"/>
      <c r="L60" s="468"/>
      <c r="M60" s="468"/>
      <c r="N60" s="468"/>
      <c r="O60" s="468"/>
      <c r="P60" s="473"/>
      <c r="Q60" s="188"/>
      <c r="R60" s="188"/>
      <c r="S60" s="28"/>
      <c r="T60" s="28"/>
      <c r="U60" s="28"/>
      <c r="V60" s="28"/>
      <c r="W60" s="28"/>
    </row>
    <row r="61" spans="1:23" s="36" customFormat="1" ht="13.5" customHeight="1" x14ac:dyDescent="0.25">
      <c r="A61" s="28"/>
      <c r="B61" s="488"/>
      <c r="C61" s="468"/>
      <c r="D61" s="468"/>
      <c r="E61" s="468"/>
      <c r="F61" s="42" t="s">
        <v>77</v>
      </c>
      <c r="G61" s="43">
        <f t="shared" ref="G61" si="57">+E59*0.4</f>
        <v>0.27360000000000001</v>
      </c>
      <c r="H61" s="44"/>
      <c r="I61" s="45"/>
      <c r="J61" s="46">
        <v>0.50600000000000001</v>
      </c>
      <c r="K61" s="468"/>
      <c r="L61" s="468"/>
      <c r="M61" s="468"/>
      <c r="N61" s="468"/>
      <c r="O61" s="468"/>
      <c r="P61" s="473"/>
      <c r="Q61" s="188"/>
      <c r="R61" s="188"/>
      <c r="S61" s="28"/>
      <c r="T61" s="28"/>
      <c r="U61" s="28"/>
      <c r="V61" s="28"/>
      <c r="W61" s="28"/>
    </row>
    <row r="62" spans="1:23" s="36" customFormat="1" ht="13.5" customHeight="1" x14ac:dyDescent="0.25">
      <c r="A62" s="28"/>
      <c r="B62" s="488"/>
      <c r="C62" s="468"/>
      <c r="D62" s="468"/>
      <c r="E62" s="468"/>
      <c r="F62" s="42" t="s">
        <v>78</v>
      </c>
      <c r="G62" s="43">
        <f t="shared" ref="G62" si="58">IF(E59&lt;0.125,"NA",IF(0.125&lt;=E59,(0.8*E59)))</f>
        <v>0.54720000000000002</v>
      </c>
      <c r="H62" s="44"/>
      <c r="I62" s="45"/>
      <c r="J62" s="46">
        <v>0.93700000000000006</v>
      </c>
      <c r="K62" s="468"/>
      <c r="L62" s="468"/>
      <c r="M62" s="468"/>
      <c r="N62" s="468"/>
      <c r="O62" s="468"/>
      <c r="P62" s="473"/>
      <c r="Q62" s="188"/>
      <c r="R62" s="188"/>
      <c r="S62" s="28"/>
      <c r="T62" s="28"/>
      <c r="U62" s="28"/>
      <c r="V62" s="28"/>
      <c r="W62" s="28"/>
    </row>
    <row r="63" spans="1:23" s="36" customFormat="1" ht="13.5" customHeight="1" thickBot="1" x14ac:dyDescent="0.3">
      <c r="A63" s="28"/>
      <c r="B63" s="489"/>
      <c r="C63" s="469"/>
      <c r="D63" s="469"/>
      <c r="E63" s="469"/>
      <c r="F63" s="47" t="s">
        <v>79</v>
      </c>
      <c r="G63" s="48">
        <f t="shared" ref="G63" si="59">+E59</f>
        <v>0.68400000000000005</v>
      </c>
      <c r="H63" s="49"/>
      <c r="I63" s="50"/>
      <c r="J63" s="51">
        <v>0.93400000000000005</v>
      </c>
      <c r="K63" s="469"/>
      <c r="L63" s="469"/>
      <c r="M63" s="469"/>
      <c r="N63" s="469"/>
      <c r="O63" s="469"/>
      <c r="P63" s="474"/>
      <c r="Q63" s="188"/>
      <c r="R63" s="188"/>
      <c r="S63" s="28"/>
      <c r="T63" s="28"/>
      <c r="U63" s="28"/>
      <c r="V63" s="28"/>
      <c r="W63" s="28"/>
    </row>
    <row r="64" spans="1:23" s="36" customFormat="1" ht="13.5" customHeight="1" x14ac:dyDescent="0.25">
      <c r="A64" s="28"/>
      <c r="B64" s="487">
        <v>10</v>
      </c>
      <c r="C64" s="490">
        <f>+C59+$N$12</f>
        <v>24.41</v>
      </c>
      <c r="D64" s="467">
        <v>0.67400000000000004</v>
      </c>
      <c r="E64" s="467">
        <v>0.70399999999999996</v>
      </c>
      <c r="F64" s="37" t="s">
        <v>75</v>
      </c>
      <c r="G64" s="38">
        <v>0</v>
      </c>
      <c r="H64" s="39"/>
      <c r="I64" s="40"/>
      <c r="J64" s="41">
        <v>0.34200000000000003</v>
      </c>
      <c r="K64" s="467">
        <f t="shared" ref="K64" si="60">+IF(E64&lt;=0.12,(J66),(IF(E64&lt;0.16,((J65+2*J66+J67)/4),IF(E64&gt;=0.16,((J64+3*J65+2*J66+3*J67+J68)/10)))))</f>
        <v>0.7621</v>
      </c>
      <c r="L64" s="467">
        <f t="shared" ref="L64" si="61">ROUND(+(D59+D64)/2*(C64-C59),3)</f>
        <v>1.359</v>
      </c>
      <c r="M64" s="467">
        <f t="shared" ref="M64" si="62">ROUND(+K64*L64,4)</f>
        <v>1.0357000000000001</v>
      </c>
      <c r="N64" s="470">
        <f t="shared" ref="N64" si="63">ROUND(+M64/$M$108*100,2)</f>
        <v>9.83</v>
      </c>
      <c r="O64" s="471"/>
      <c r="P64" s="472"/>
      <c r="Q64" s="188"/>
      <c r="S64" s="28"/>
      <c r="T64" s="28"/>
      <c r="U64" s="28"/>
      <c r="V64" s="28"/>
      <c r="W64" s="28"/>
    </row>
    <row r="65" spans="1:23" s="36" customFormat="1" ht="13.5" customHeight="1" x14ac:dyDescent="0.25">
      <c r="A65" s="28"/>
      <c r="B65" s="488"/>
      <c r="C65" s="468"/>
      <c r="D65" s="468"/>
      <c r="E65" s="468"/>
      <c r="F65" s="42" t="s">
        <v>76</v>
      </c>
      <c r="G65" s="43">
        <f t="shared" ref="G65" si="64">IF(E64&lt;0.125,"NA",IF(0.125&lt;=E64,(0.2*E64)))</f>
        <v>0.14080000000000001</v>
      </c>
      <c r="H65" s="44"/>
      <c r="I65" s="45"/>
      <c r="J65" s="46">
        <v>0.55600000000000005</v>
      </c>
      <c r="K65" s="468"/>
      <c r="L65" s="468"/>
      <c r="M65" s="468"/>
      <c r="N65" s="468"/>
      <c r="O65" s="468"/>
      <c r="P65" s="473"/>
      <c r="Q65" s="188"/>
      <c r="R65" s="188"/>
      <c r="S65" s="28"/>
      <c r="T65" s="28"/>
      <c r="U65" s="28"/>
      <c r="V65" s="28"/>
      <c r="W65" s="28"/>
    </row>
    <row r="66" spans="1:23" s="36" customFormat="1" ht="13.5" customHeight="1" x14ac:dyDescent="0.25">
      <c r="A66" s="28"/>
      <c r="B66" s="488"/>
      <c r="C66" s="468"/>
      <c r="D66" s="468"/>
      <c r="E66" s="468"/>
      <c r="F66" s="42" t="s">
        <v>77</v>
      </c>
      <c r="G66" s="43">
        <f t="shared" ref="G66" si="65">+E64*0.4</f>
        <v>0.28160000000000002</v>
      </c>
      <c r="H66" s="44"/>
      <c r="I66" s="45"/>
      <c r="J66" s="46">
        <v>0.78400000000000003</v>
      </c>
      <c r="K66" s="468"/>
      <c r="L66" s="468"/>
      <c r="M66" s="468"/>
      <c r="N66" s="468"/>
      <c r="O66" s="468"/>
      <c r="P66" s="473"/>
      <c r="Q66" s="188"/>
      <c r="R66" s="188"/>
      <c r="S66" s="28"/>
      <c r="T66" s="28"/>
      <c r="U66" s="28"/>
      <c r="V66" s="28"/>
      <c r="W66" s="28"/>
    </row>
    <row r="67" spans="1:23" s="36" customFormat="1" ht="13.5" customHeight="1" x14ac:dyDescent="0.25">
      <c r="A67" s="28"/>
      <c r="B67" s="488"/>
      <c r="C67" s="468"/>
      <c r="D67" s="468"/>
      <c r="E67" s="468"/>
      <c r="F67" s="42" t="s">
        <v>78</v>
      </c>
      <c r="G67" s="43">
        <f t="shared" ref="G67" si="66">IF(E64&lt;0.125,"NA",IF(0.125&lt;=E64,(0.8*E64)))</f>
        <v>0.56320000000000003</v>
      </c>
      <c r="H67" s="44"/>
      <c r="I67" s="45"/>
      <c r="J67" s="46">
        <v>1.044</v>
      </c>
      <c r="K67" s="468"/>
      <c r="L67" s="468"/>
      <c r="M67" s="468"/>
      <c r="N67" s="468"/>
      <c r="O67" s="468"/>
      <c r="P67" s="473"/>
      <c r="Q67" s="188"/>
      <c r="R67" s="188"/>
      <c r="S67" s="28"/>
      <c r="T67" s="28"/>
      <c r="U67" s="28"/>
      <c r="V67" s="28"/>
      <c r="W67" s="28"/>
    </row>
    <row r="68" spans="1:23" s="36" customFormat="1" ht="13.5" customHeight="1" thickBot="1" x14ac:dyDescent="0.3">
      <c r="A68" s="28"/>
      <c r="B68" s="489"/>
      <c r="C68" s="469"/>
      <c r="D68" s="469"/>
      <c r="E68" s="469"/>
      <c r="F68" s="47" t="s">
        <v>79</v>
      </c>
      <c r="G68" s="48">
        <f t="shared" ref="G68" si="67">+E64</f>
        <v>0.70399999999999996</v>
      </c>
      <c r="H68" s="49"/>
      <c r="I68" s="50"/>
      <c r="J68" s="51">
        <v>0.91100000000000003</v>
      </c>
      <c r="K68" s="469"/>
      <c r="L68" s="469"/>
      <c r="M68" s="469"/>
      <c r="N68" s="469"/>
      <c r="O68" s="469"/>
      <c r="P68" s="474"/>
      <c r="Q68" s="188"/>
      <c r="R68" s="188"/>
      <c r="S68" s="28"/>
      <c r="T68" s="28"/>
      <c r="U68" s="28"/>
      <c r="V68" s="28"/>
      <c r="W68" s="28"/>
    </row>
    <row r="69" spans="1:23" s="36" customFormat="1" ht="13.5" customHeight="1" x14ac:dyDescent="0.25">
      <c r="A69" s="28"/>
      <c r="B69" s="487">
        <v>11</v>
      </c>
      <c r="C69" s="490">
        <f>+C64+$N$12</f>
        <v>26.41</v>
      </c>
      <c r="D69" s="467">
        <v>0.67530000000000001</v>
      </c>
      <c r="E69" s="467">
        <v>0.67400000000000004</v>
      </c>
      <c r="F69" s="37" t="s">
        <v>75</v>
      </c>
      <c r="G69" s="38">
        <v>0</v>
      </c>
      <c r="H69" s="39"/>
      <c r="I69" s="40"/>
      <c r="J69" s="41">
        <v>0.48799999999999999</v>
      </c>
      <c r="K69" s="467">
        <f t="shared" ref="K69" si="68">+IF(E69&lt;=0.12,(J71),(IF(E69&lt;0.16,((J70+2*J71+J72)/4),IF(E69&gt;=0.16,((J69+3*J70+2*J71+3*J72+J73)/10)))))</f>
        <v>0.76470000000000005</v>
      </c>
      <c r="L69" s="467">
        <f t="shared" ref="L69" si="69">ROUND(+(D64+D69)/2*(C69-C64),3)</f>
        <v>1.349</v>
      </c>
      <c r="M69" s="467">
        <f t="shared" ref="M69" si="70">ROUND(+K69*L69,4)</f>
        <v>1.0316000000000001</v>
      </c>
      <c r="N69" s="470">
        <f t="shared" ref="N69" si="71">ROUND(+M69/$M$108*100,2)</f>
        <v>9.7899999999999991</v>
      </c>
      <c r="O69" s="471"/>
      <c r="P69" s="472"/>
      <c r="Q69" s="188"/>
      <c r="S69" s="28"/>
      <c r="T69" s="28"/>
      <c r="U69" s="28"/>
      <c r="V69" s="28"/>
      <c r="W69" s="28"/>
    </row>
    <row r="70" spans="1:23" s="36" customFormat="1" ht="13.5" customHeight="1" x14ac:dyDescent="0.25">
      <c r="A70" s="28"/>
      <c r="B70" s="488"/>
      <c r="C70" s="468"/>
      <c r="D70" s="468"/>
      <c r="E70" s="468"/>
      <c r="F70" s="42" t="s">
        <v>76</v>
      </c>
      <c r="G70" s="43">
        <f t="shared" ref="G70" si="72">IF(E69&lt;0.125,"NA",IF(0.125&lt;=E69,(0.2*E69)))</f>
        <v>0.1348</v>
      </c>
      <c r="H70" s="44"/>
      <c r="I70" s="45"/>
      <c r="J70" s="46">
        <v>0.73699999999999999</v>
      </c>
      <c r="K70" s="468"/>
      <c r="L70" s="468"/>
      <c r="M70" s="468"/>
      <c r="N70" s="468"/>
      <c r="O70" s="468"/>
      <c r="P70" s="473"/>
      <c r="Q70" s="188"/>
      <c r="R70" s="188"/>
      <c r="S70" s="28"/>
      <c r="T70" s="28"/>
      <c r="U70" s="28"/>
      <c r="V70" s="28"/>
      <c r="W70" s="28"/>
    </row>
    <row r="71" spans="1:23" s="36" customFormat="1" ht="13.5" customHeight="1" x14ac:dyDescent="0.25">
      <c r="A71" s="28"/>
      <c r="B71" s="488"/>
      <c r="C71" s="468"/>
      <c r="D71" s="468"/>
      <c r="E71" s="468"/>
      <c r="F71" s="42" t="s">
        <v>77</v>
      </c>
      <c r="G71" s="43">
        <f t="shared" ref="G71" si="73">+E69*0.4</f>
        <v>0.26960000000000001</v>
      </c>
      <c r="H71" s="44"/>
      <c r="I71" s="45"/>
      <c r="J71" s="46">
        <v>0.77300000000000002</v>
      </c>
      <c r="K71" s="468"/>
      <c r="L71" s="468"/>
      <c r="M71" s="468"/>
      <c r="N71" s="468"/>
      <c r="O71" s="468"/>
      <c r="P71" s="473"/>
      <c r="Q71" s="188"/>
      <c r="R71" s="188"/>
      <c r="S71" s="28"/>
      <c r="T71" s="28"/>
      <c r="U71" s="28"/>
      <c r="V71" s="28"/>
      <c r="W71" s="28"/>
    </row>
    <row r="72" spans="1:23" s="36" customFormat="1" ht="13.5" customHeight="1" x14ac:dyDescent="0.25">
      <c r="A72" s="28"/>
      <c r="B72" s="488"/>
      <c r="C72" s="468"/>
      <c r="D72" s="468"/>
      <c r="E72" s="468"/>
      <c r="F72" s="42" t="s">
        <v>78</v>
      </c>
      <c r="G72" s="43">
        <f t="shared" ref="G72" si="74">IF(E69&lt;0.125,"NA",IF(0.125&lt;=E69,(0.8*E69)))</f>
        <v>0.53920000000000001</v>
      </c>
      <c r="H72" s="44"/>
      <c r="I72" s="45"/>
      <c r="J72" s="46">
        <v>0.85699999999999998</v>
      </c>
      <c r="K72" s="468"/>
      <c r="L72" s="468"/>
      <c r="M72" s="468"/>
      <c r="N72" s="468"/>
      <c r="O72" s="468"/>
      <c r="P72" s="473"/>
      <c r="Q72" s="188"/>
      <c r="R72" s="188"/>
      <c r="S72" s="28"/>
      <c r="T72" s="28"/>
      <c r="U72" s="28"/>
      <c r="V72" s="28"/>
      <c r="W72" s="28"/>
    </row>
    <row r="73" spans="1:23" s="36" customFormat="1" ht="13.5" customHeight="1" thickBot="1" x14ac:dyDescent="0.3">
      <c r="A73" s="28"/>
      <c r="B73" s="489"/>
      <c r="C73" s="469"/>
      <c r="D73" s="469"/>
      <c r="E73" s="469"/>
      <c r="F73" s="47" t="s">
        <v>79</v>
      </c>
      <c r="G73" s="48">
        <f t="shared" ref="G73" si="75">+E69</f>
        <v>0.67400000000000004</v>
      </c>
      <c r="H73" s="49"/>
      <c r="I73" s="50"/>
      <c r="J73" s="51">
        <v>0.83099999999999996</v>
      </c>
      <c r="K73" s="469"/>
      <c r="L73" s="469"/>
      <c r="M73" s="469"/>
      <c r="N73" s="469"/>
      <c r="O73" s="469"/>
      <c r="P73" s="474"/>
      <c r="Q73" s="188"/>
      <c r="R73" s="188"/>
      <c r="S73" s="28"/>
      <c r="T73" s="28"/>
      <c r="U73" s="28"/>
      <c r="V73" s="28"/>
      <c r="W73" s="28"/>
    </row>
    <row r="74" spans="1:23" s="36" customFormat="1" ht="13.5" customHeight="1" x14ac:dyDescent="0.25">
      <c r="A74" s="28"/>
      <c r="B74" s="487">
        <v>12</v>
      </c>
      <c r="C74" s="490">
        <f>+C69+$N$12</f>
        <v>28.41</v>
      </c>
      <c r="D74" s="467">
        <v>0.84899999999999998</v>
      </c>
      <c r="E74" s="467">
        <v>0.90500000000000003</v>
      </c>
      <c r="F74" s="37" t="s">
        <v>75</v>
      </c>
      <c r="G74" s="38">
        <v>0</v>
      </c>
      <c r="H74" s="39"/>
      <c r="I74" s="40"/>
      <c r="J74" s="41">
        <v>0.39900000000000002</v>
      </c>
      <c r="K74" s="467">
        <f t="shared" ref="K74" si="76">+IF(E74&lt;=0.12,(J76),(IF(E74&lt;0.16,((J75+2*J76+J77)/4),IF(E74&gt;=0.16,((J74+3*J75+2*J76+3*J77+J78)/10)))))</f>
        <v>0.63250000000000006</v>
      </c>
      <c r="L74" s="467">
        <f t="shared" ref="L74" si="77">ROUND(+(D69+D74)/2*(C74-C69),3)</f>
        <v>1.524</v>
      </c>
      <c r="M74" s="467">
        <f t="shared" ref="M74" si="78">ROUND(+K74*L74,4)</f>
        <v>0.96389999999999998</v>
      </c>
      <c r="N74" s="470">
        <f t="shared" ref="N74" si="79">ROUND(+M74/$M$108*100,2)</f>
        <v>9.15</v>
      </c>
      <c r="O74" s="471"/>
      <c r="P74" s="472"/>
      <c r="Q74" s="188"/>
      <c r="S74" s="28"/>
      <c r="T74" s="28"/>
      <c r="U74" s="28"/>
      <c r="V74" s="28"/>
      <c r="W74" s="28"/>
    </row>
    <row r="75" spans="1:23" s="36" customFormat="1" ht="13.5" customHeight="1" x14ac:dyDescent="0.25">
      <c r="A75" s="28"/>
      <c r="B75" s="488"/>
      <c r="C75" s="468"/>
      <c r="D75" s="468"/>
      <c r="E75" s="468"/>
      <c r="F75" s="42" t="s">
        <v>76</v>
      </c>
      <c r="G75" s="43">
        <f t="shared" ref="G75" si="80">IF(E74&lt;0.125,"NA",IF(0.125&lt;=E74,(0.2*E74)))</f>
        <v>0.18100000000000002</v>
      </c>
      <c r="H75" s="44"/>
      <c r="I75" s="45"/>
      <c r="J75" s="46">
        <v>0.54200000000000004</v>
      </c>
      <c r="K75" s="468"/>
      <c r="L75" s="468"/>
      <c r="M75" s="468"/>
      <c r="N75" s="468"/>
      <c r="O75" s="468"/>
      <c r="P75" s="473"/>
      <c r="Q75" s="188"/>
      <c r="R75" s="188"/>
      <c r="S75" s="28"/>
      <c r="T75" s="28"/>
      <c r="U75" s="28"/>
      <c r="V75" s="28"/>
      <c r="W75" s="28"/>
    </row>
    <row r="76" spans="1:23" s="36" customFormat="1" ht="13.5" customHeight="1" x14ac:dyDescent="0.25">
      <c r="A76" s="28"/>
      <c r="B76" s="488"/>
      <c r="C76" s="468"/>
      <c r="D76" s="468"/>
      <c r="E76" s="468"/>
      <c r="F76" s="42" t="s">
        <v>77</v>
      </c>
      <c r="G76" s="43">
        <f t="shared" ref="G76" si="81">+E74*0.4</f>
        <v>0.36200000000000004</v>
      </c>
      <c r="H76" s="44"/>
      <c r="I76" s="45"/>
      <c r="J76" s="46">
        <v>0.65</v>
      </c>
      <c r="K76" s="468"/>
      <c r="L76" s="468"/>
      <c r="M76" s="468"/>
      <c r="N76" s="468"/>
      <c r="O76" s="468"/>
      <c r="P76" s="473"/>
      <c r="Q76" s="188"/>
      <c r="R76" s="188"/>
      <c r="S76" s="28"/>
      <c r="T76" s="28"/>
      <c r="U76" s="28"/>
      <c r="V76" s="28"/>
      <c r="W76" s="28"/>
    </row>
    <row r="77" spans="1:23" s="36" customFormat="1" ht="13.5" customHeight="1" x14ac:dyDescent="0.25">
      <c r="A77" s="28"/>
      <c r="B77" s="488"/>
      <c r="C77" s="468"/>
      <c r="D77" s="468"/>
      <c r="E77" s="468"/>
      <c r="F77" s="42" t="s">
        <v>78</v>
      </c>
      <c r="G77" s="43">
        <f t="shared" ref="G77" si="82">IF(E74&lt;0.125,"NA",IF(0.125&lt;=E74,(0.8*E74)))</f>
        <v>0.72400000000000009</v>
      </c>
      <c r="H77" s="44"/>
      <c r="I77" s="45"/>
      <c r="J77" s="46">
        <v>0.749</v>
      </c>
      <c r="K77" s="468"/>
      <c r="L77" s="468"/>
      <c r="M77" s="468"/>
      <c r="N77" s="468"/>
      <c r="O77" s="468"/>
      <c r="P77" s="473"/>
      <c r="Q77" s="188"/>
      <c r="R77" s="188"/>
      <c r="S77" s="28"/>
      <c r="T77" s="28"/>
      <c r="U77" s="28"/>
      <c r="V77" s="28"/>
      <c r="W77" s="28"/>
    </row>
    <row r="78" spans="1:23" s="36" customFormat="1" ht="13.5" customHeight="1" thickBot="1" x14ac:dyDescent="0.3">
      <c r="A78" s="28"/>
      <c r="B78" s="489"/>
      <c r="C78" s="469"/>
      <c r="D78" s="469"/>
      <c r="E78" s="469"/>
      <c r="F78" s="47" t="s">
        <v>79</v>
      </c>
      <c r="G78" s="48">
        <f t="shared" ref="G78" si="83">+E74</f>
        <v>0.90500000000000003</v>
      </c>
      <c r="H78" s="49"/>
      <c r="I78" s="50"/>
      <c r="J78" s="51">
        <v>0.753</v>
      </c>
      <c r="K78" s="469"/>
      <c r="L78" s="469"/>
      <c r="M78" s="469"/>
      <c r="N78" s="469"/>
      <c r="O78" s="469"/>
      <c r="P78" s="474"/>
      <c r="Q78" s="188"/>
      <c r="R78" s="188"/>
      <c r="S78" s="28"/>
      <c r="T78" s="28"/>
      <c r="U78" s="28"/>
      <c r="V78" s="28"/>
      <c r="W78" s="28"/>
    </row>
    <row r="79" spans="1:23" s="36" customFormat="1" ht="13.5" customHeight="1" x14ac:dyDescent="0.25">
      <c r="A79" s="28"/>
      <c r="B79" s="487">
        <v>13</v>
      </c>
      <c r="C79" s="490">
        <f>+C74+$N$12</f>
        <v>30.41</v>
      </c>
      <c r="D79" s="467">
        <v>1.2</v>
      </c>
      <c r="E79" s="467">
        <v>1.083</v>
      </c>
      <c r="F79" s="37" t="s">
        <v>75</v>
      </c>
      <c r="G79" s="38">
        <v>0</v>
      </c>
      <c r="H79" s="39"/>
      <c r="I79" s="40"/>
      <c r="J79" s="41">
        <v>7.9000000000000001E-2</v>
      </c>
      <c r="K79" s="467">
        <f t="shared" ref="K79" si="84">+IF(E79&lt;=0.12,(J81),(IF(E79&lt;0.16,((J80+2*J81+J82)/4),IF(E79&gt;=0.16,((J79+3*J80+2*J81+3*J82+J83)/10)))))</f>
        <v>0.1741</v>
      </c>
      <c r="L79" s="467">
        <f t="shared" ref="L79" si="85">ROUND(+(D74+D79)/2*(C79-C74),3)</f>
        <v>2.0489999999999999</v>
      </c>
      <c r="M79" s="467">
        <f t="shared" ref="M79" si="86">ROUND(+K79*L79,4)</f>
        <v>0.35670000000000002</v>
      </c>
      <c r="N79" s="470">
        <f t="shared" ref="N79" si="87">ROUND(+M79/$M$108*100,2)</f>
        <v>3.38</v>
      </c>
      <c r="O79" s="471"/>
      <c r="P79" s="472"/>
      <c r="Q79" s="188"/>
      <c r="S79" s="28"/>
      <c r="T79" s="28"/>
      <c r="U79" s="28"/>
      <c r="V79" s="28"/>
      <c r="W79" s="28"/>
    </row>
    <row r="80" spans="1:23" s="36" customFormat="1" ht="13.5" customHeight="1" x14ac:dyDescent="0.25">
      <c r="A80" s="28"/>
      <c r="B80" s="488"/>
      <c r="C80" s="468"/>
      <c r="D80" s="468"/>
      <c r="E80" s="468"/>
      <c r="F80" s="42" t="s">
        <v>76</v>
      </c>
      <c r="G80" s="43">
        <f t="shared" ref="G80" si="88">IF(E79&lt;0.125,"NA",IF(0.125&lt;=E79,(0.2*E79)))</f>
        <v>0.21660000000000001</v>
      </c>
      <c r="H80" s="44"/>
      <c r="I80" s="45"/>
      <c r="J80" s="46">
        <v>0.17</v>
      </c>
      <c r="K80" s="468"/>
      <c r="L80" s="468"/>
      <c r="M80" s="468"/>
      <c r="N80" s="468"/>
      <c r="O80" s="468"/>
      <c r="P80" s="473"/>
      <c r="Q80" s="188"/>
      <c r="R80" s="188"/>
      <c r="S80" s="28"/>
      <c r="T80" s="28"/>
      <c r="U80" s="28"/>
      <c r="V80" s="28"/>
      <c r="W80" s="28"/>
    </row>
    <row r="81" spans="1:23" s="36" customFormat="1" ht="13.5" customHeight="1" x14ac:dyDescent="0.25">
      <c r="A81" s="28"/>
      <c r="B81" s="488"/>
      <c r="C81" s="468"/>
      <c r="D81" s="468"/>
      <c r="E81" s="468"/>
      <c r="F81" s="42" t="s">
        <v>77</v>
      </c>
      <c r="G81" s="43">
        <f t="shared" ref="G81" si="89">+E79*0.4</f>
        <v>0.43320000000000003</v>
      </c>
      <c r="H81" s="44"/>
      <c r="I81" s="45"/>
      <c r="J81" s="46">
        <v>0.182</v>
      </c>
      <c r="K81" s="468"/>
      <c r="L81" s="468"/>
      <c r="M81" s="468"/>
      <c r="N81" s="468"/>
      <c r="O81" s="468"/>
      <c r="P81" s="473"/>
      <c r="Q81" s="188"/>
      <c r="R81" s="188"/>
      <c r="S81" s="28"/>
      <c r="T81" s="28"/>
      <c r="U81" s="28"/>
      <c r="V81" s="28"/>
      <c r="W81" s="28"/>
    </row>
    <row r="82" spans="1:23" s="36" customFormat="1" ht="13.5" customHeight="1" x14ac:dyDescent="0.25">
      <c r="A82" s="28"/>
      <c r="B82" s="488"/>
      <c r="C82" s="468"/>
      <c r="D82" s="468"/>
      <c r="E82" s="468"/>
      <c r="F82" s="42" t="s">
        <v>78</v>
      </c>
      <c r="G82" s="43">
        <f t="shared" ref="G82" si="90">IF(E79&lt;0.125,"NA",IF(0.125&lt;=E79,(0.8*E79)))</f>
        <v>0.86640000000000006</v>
      </c>
      <c r="H82" s="44"/>
      <c r="I82" s="45"/>
      <c r="J82" s="46">
        <v>0.19700000000000001</v>
      </c>
      <c r="K82" s="468"/>
      <c r="L82" s="468"/>
      <c r="M82" s="468"/>
      <c r="N82" s="468"/>
      <c r="O82" s="468"/>
      <c r="P82" s="473"/>
      <c r="Q82" s="188"/>
      <c r="R82" s="188"/>
      <c r="S82" s="28"/>
      <c r="T82" s="28"/>
      <c r="U82" s="28"/>
      <c r="V82" s="28"/>
      <c r="W82" s="28"/>
    </row>
    <row r="83" spans="1:23" s="36" customFormat="1" ht="13.5" customHeight="1" thickBot="1" x14ac:dyDescent="0.3">
      <c r="A83" s="28"/>
      <c r="B83" s="489"/>
      <c r="C83" s="469"/>
      <c r="D83" s="469"/>
      <c r="E83" s="469"/>
      <c r="F83" s="47" t="s">
        <v>79</v>
      </c>
      <c r="G83" s="48">
        <f t="shared" ref="G83" si="91">+E79</f>
        <v>1.083</v>
      </c>
      <c r="H83" s="49"/>
      <c r="I83" s="50"/>
      <c r="J83" s="51">
        <v>0.19700000000000001</v>
      </c>
      <c r="K83" s="469"/>
      <c r="L83" s="469"/>
      <c r="M83" s="469"/>
      <c r="N83" s="469"/>
      <c r="O83" s="469"/>
      <c r="P83" s="474"/>
      <c r="Q83" s="188"/>
      <c r="R83" s="188"/>
      <c r="S83" s="28"/>
      <c r="T83" s="28"/>
      <c r="U83" s="28"/>
      <c r="V83" s="28"/>
      <c r="W83" s="28"/>
    </row>
    <row r="84" spans="1:23" s="36" customFormat="1" ht="13.5" customHeight="1" x14ac:dyDescent="0.25">
      <c r="A84" s="28"/>
      <c r="B84" s="487">
        <v>14</v>
      </c>
      <c r="C84" s="490">
        <f>+C79+1.77</f>
        <v>32.18</v>
      </c>
      <c r="D84" s="467">
        <v>0.54500000000000004</v>
      </c>
      <c r="E84" s="467">
        <v>1.103</v>
      </c>
      <c r="F84" s="37" t="s">
        <v>75</v>
      </c>
      <c r="G84" s="38">
        <v>0</v>
      </c>
      <c r="H84" s="39"/>
      <c r="I84" s="40"/>
      <c r="J84" s="41"/>
      <c r="K84" s="467"/>
      <c r="L84" s="467"/>
      <c r="M84" s="467"/>
      <c r="N84" s="470"/>
      <c r="O84" s="471"/>
      <c r="P84" s="472"/>
      <c r="Q84" s="188"/>
      <c r="S84" s="28"/>
      <c r="T84" s="28"/>
      <c r="U84" s="28"/>
      <c r="V84" s="28"/>
      <c r="W84" s="28"/>
    </row>
    <row r="85" spans="1:23" s="36" customFormat="1" ht="13.5" customHeight="1" x14ac:dyDescent="0.25">
      <c r="A85" s="28"/>
      <c r="B85" s="488"/>
      <c r="C85" s="468"/>
      <c r="D85" s="468"/>
      <c r="E85" s="468"/>
      <c r="F85" s="42" t="s">
        <v>76</v>
      </c>
      <c r="G85" s="43">
        <f t="shared" ref="G85" si="92">IF(E84&lt;0.125,"NA",IF(0.125&lt;=E84,(0.2*E84)))</f>
        <v>0.22060000000000002</v>
      </c>
      <c r="H85" s="44"/>
      <c r="I85" s="45"/>
      <c r="J85" s="46"/>
      <c r="K85" s="468"/>
      <c r="L85" s="468"/>
      <c r="M85" s="468"/>
      <c r="N85" s="468"/>
      <c r="O85" s="468"/>
      <c r="P85" s="473"/>
      <c r="Q85" s="188"/>
      <c r="R85" s="188"/>
      <c r="S85" s="28"/>
      <c r="T85" s="28"/>
      <c r="U85" s="28"/>
      <c r="V85" s="28"/>
      <c r="W85" s="28"/>
    </row>
    <row r="86" spans="1:23" s="36" customFormat="1" ht="13.5" customHeight="1" x14ac:dyDescent="0.25">
      <c r="A86" s="28"/>
      <c r="B86" s="488"/>
      <c r="C86" s="468"/>
      <c r="D86" s="468"/>
      <c r="E86" s="468"/>
      <c r="F86" s="42" t="s">
        <v>77</v>
      </c>
      <c r="G86" s="43">
        <f t="shared" ref="G86" si="93">+E84*0.4</f>
        <v>0.44120000000000004</v>
      </c>
      <c r="H86" s="44"/>
      <c r="I86" s="45"/>
      <c r="J86" s="46"/>
      <c r="K86" s="468"/>
      <c r="L86" s="468"/>
      <c r="M86" s="468"/>
      <c r="N86" s="468"/>
      <c r="O86" s="468"/>
      <c r="P86" s="473"/>
      <c r="Q86" s="188"/>
      <c r="R86" s="188"/>
      <c r="S86" s="28"/>
      <c r="T86" s="28"/>
      <c r="U86" s="28"/>
      <c r="V86" s="28"/>
      <c r="W86" s="28"/>
    </row>
    <row r="87" spans="1:23" s="36" customFormat="1" ht="13.5" customHeight="1" x14ac:dyDescent="0.25">
      <c r="A87" s="28"/>
      <c r="B87" s="488"/>
      <c r="C87" s="468"/>
      <c r="D87" s="468"/>
      <c r="E87" s="468"/>
      <c r="F87" s="42" t="s">
        <v>78</v>
      </c>
      <c r="G87" s="43">
        <f t="shared" ref="G87" si="94">IF(E84&lt;0.125,"NA",IF(0.125&lt;=E84,(0.8*E84)))</f>
        <v>0.88240000000000007</v>
      </c>
      <c r="H87" s="44"/>
      <c r="I87" s="45"/>
      <c r="J87" s="46"/>
      <c r="K87" s="468"/>
      <c r="L87" s="468"/>
      <c r="M87" s="468"/>
      <c r="N87" s="468"/>
      <c r="O87" s="468"/>
      <c r="P87" s="473"/>
      <c r="Q87" s="188"/>
      <c r="R87" s="188"/>
      <c r="S87" s="28"/>
      <c r="T87" s="28"/>
      <c r="U87" s="28"/>
      <c r="V87" s="28"/>
      <c r="W87" s="28"/>
    </row>
    <row r="88" spans="1:23" s="36" customFormat="1" ht="13.5" customHeight="1" thickBot="1" x14ac:dyDescent="0.3">
      <c r="A88" s="28"/>
      <c r="B88" s="489"/>
      <c r="C88" s="469"/>
      <c r="D88" s="469"/>
      <c r="E88" s="469"/>
      <c r="F88" s="47" t="s">
        <v>79</v>
      </c>
      <c r="G88" s="48">
        <f t="shared" ref="G88" si="95">+E84</f>
        <v>1.103</v>
      </c>
      <c r="H88" s="49"/>
      <c r="I88" s="50"/>
      <c r="J88" s="51"/>
      <c r="K88" s="469"/>
      <c r="L88" s="469"/>
      <c r="M88" s="469"/>
      <c r="N88" s="469"/>
      <c r="O88" s="469"/>
      <c r="P88" s="474"/>
      <c r="Q88" s="188"/>
      <c r="R88" s="188"/>
      <c r="S88" s="28"/>
      <c r="T88" s="28"/>
      <c r="U88" s="28"/>
      <c r="V88" s="28"/>
      <c r="W88" s="28"/>
    </row>
    <row r="89" spans="1:23" s="3" customFormat="1" ht="13.5" customHeight="1" x14ac:dyDescent="0.2">
      <c r="B89" s="475" t="s">
        <v>28</v>
      </c>
      <c r="C89" s="478"/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/>
      <c r="O89" s="479"/>
      <c r="P89" s="480"/>
      <c r="Q89" s="188"/>
    </row>
    <row r="90" spans="1:23" s="3" customFormat="1" ht="14.1" customHeight="1" x14ac:dyDescent="0.2">
      <c r="B90" s="476"/>
      <c r="C90" s="481"/>
      <c r="D90" s="482"/>
      <c r="E90" s="482"/>
      <c r="F90" s="482"/>
      <c r="G90" s="482"/>
      <c r="H90" s="482"/>
      <c r="I90" s="482"/>
      <c r="J90" s="482"/>
      <c r="K90" s="482"/>
      <c r="L90" s="482"/>
      <c r="M90" s="482"/>
      <c r="N90" s="482"/>
      <c r="O90" s="482"/>
      <c r="P90" s="483"/>
      <c r="Q90" s="188"/>
    </row>
    <row r="91" spans="1:23" s="3" customFormat="1" ht="14.1" customHeight="1" x14ac:dyDescent="0.2">
      <c r="B91" s="476"/>
      <c r="C91" s="481"/>
      <c r="D91" s="482"/>
      <c r="E91" s="482"/>
      <c r="F91" s="482"/>
      <c r="G91" s="482"/>
      <c r="H91" s="482"/>
      <c r="I91" s="482"/>
      <c r="J91" s="482"/>
      <c r="K91" s="482"/>
      <c r="L91" s="482"/>
      <c r="M91" s="482"/>
      <c r="N91" s="482"/>
      <c r="O91" s="482"/>
      <c r="P91" s="483"/>
      <c r="Q91" s="188"/>
    </row>
    <row r="92" spans="1:23" s="3" customFormat="1" ht="14.1" customHeight="1" x14ac:dyDescent="0.2">
      <c r="B92" s="476"/>
      <c r="C92" s="481"/>
      <c r="D92" s="482"/>
      <c r="E92" s="482"/>
      <c r="F92" s="482"/>
      <c r="G92" s="482"/>
      <c r="H92" s="482"/>
      <c r="I92" s="482"/>
      <c r="J92" s="482"/>
      <c r="K92" s="482"/>
      <c r="L92" s="482"/>
      <c r="M92" s="482"/>
      <c r="N92" s="482"/>
      <c r="O92" s="482"/>
      <c r="P92" s="483"/>
      <c r="Q92" s="188"/>
    </row>
    <row r="93" spans="1:23" s="3" customFormat="1" ht="14.1" customHeight="1" x14ac:dyDescent="0.2">
      <c r="B93" s="476"/>
      <c r="C93" s="481"/>
      <c r="D93" s="482"/>
      <c r="E93" s="482"/>
      <c r="F93" s="482"/>
      <c r="G93" s="482"/>
      <c r="H93" s="482"/>
      <c r="I93" s="482"/>
      <c r="J93" s="482"/>
      <c r="K93" s="482"/>
      <c r="L93" s="482"/>
      <c r="M93" s="482"/>
      <c r="N93" s="482"/>
      <c r="O93" s="482"/>
      <c r="P93" s="483"/>
      <c r="Q93" s="188"/>
    </row>
    <row r="94" spans="1:23" s="3" customFormat="1" ht="14.1" customHeight="1" thickBot="1" x14ac:dyDescent="0.25">
      <c r="B94" s="477"/>
      <c r="C94" s="484"/>
      <c r="D94" s="485"/>
      <c r="E94" s="485"/>
      <c r="F94" s="485"/>
      <c r="G94" s="485"/>
      <c r="H94" s="485"/>
      <c r="I94" s="485"/>
      <c r="J94" s="485"/>
      <c r="K94" s="485"/>
      <c r="L94" s="485"/>
      <c r="M94" s="485"/>
      <c r="N94" s="485"/>
      <c r="O94" s="485"/>
      <c r="P94" s="486"/>
      <c r="Q94" s="188"/>
    </row>
    <row r="95" spans="1:23" s="3" customFormat="1" ht="28.5" customHeight="1" thickBot="1" x14ac:dyDescent="0.25">
      <c r="A95" s="52"/>
      <c r="B95" s="53" t="s">
        <v>80</v>
      </c>
      <c r="C95" s="454" t="s">
        <v>81</v>
      </c>
      <c r="D95" s="454"/>
      <c r="E95" s="454"/>
      <c r="F95" s="454"/>
      <c r="G95" s="454"/>
      <c r="H95" s="455"/>
      <c r="I95" s="456"/>
      <c r="J95" s="53" t="s">
        <v>82</v>
      </c>
      <c r="K95" s="454" t="s">
        <v>83</v>
      </c>
      <c r="L95" s="454"/>
      <c r="M95" s="454"/>
      <c r="N95" s="454"/>
      <c r="O95" s="454"/>
      <c r="P95" s="455"/>
    </row>
    <row r="96" spans="1:23" s="3" customFormat="1" ht="28.5" customHeight="1" thickBot="1" x14ac:dyDescent="0.25">
      <c r="B96" s="54" t="s">
        <v>84</v>
      </c>
      <c r="C96" s="458" t="s">
        <v>85</v>
      </c>
      <c r="D96" s="458"/>
      <c r="E96" s="458"/>
      <c r="F96" s="458"/>
      <c r="G96" s="458"/>
      <c r="H96" s="459"/>
      <c r="I96" s="457"/>
      <c r="J96" s="54" t="s">
        <v>86</v>
      </c>
      <c r="K96" s="458" t="s">
        <v>87</v>
      </c>
      <c r="L96" s="458"/>
      <c r="M96" s="458"/>
      <c r="N96" s="458"/>
      <c r="O96" s="458"/>
      <c r="P96" s="459"/>
    </row>
    <row r="97" spans="1:23" s="16" customFormat="1" ht="13.5" customHeight="1" x14ac:dyDescent="0.25">
      <c r="A97" s="55"/>
      <c r="B97" s="460">
        <v>14</v>
      </c>
      <c r="C97" s="463">
        <f>+C79</f>
        <v>30.41</v>
      </c>
      <c r="D97" s="465">
        <f>+D79</f>
        <v>1.2</v>
      </c>
      <c r="E97" s="465">
        <f>+E84</f>
        <v>1.103</v>
      </c>
      <c r="F97" s="56" t="s">
        <v>75</v>
      </c>
      <c r="G97" s="56">
        <v>0.01</v>
      </c>
      <c r="H97" s="57"/>
      <c r="I97" s="58"/>
      <c r="J97" s="59">
        <v>0.248</v>
      </c>
      <c r="K97" s="466">
        <f>+AVERAGE(J97:J107)</f>
        <v>0.43036363636363634</v>
      </c>
      <c r="L97" s="445">
        <f>ROUND(+(D97+D102)/2*(C102-C97),3)</f>
        <v>1.544</v>
      </c>
      <c r="M97" s="448">
        <f>ROUND(+K97*L97,4)</f>
        <v>0.66449999999999998</v>
      </c>
      <c r="N97" s="445">
        <f>ROUND(+M97/$M$108*100,2)</f>
        <v>6.31</v>
      </c>
      <c r="O97" s="445"/>
      <c r="P97" s="449"/>
      <c r="Q97" s="188"/>
      <c r="R97" s="60"/>
      <c r="S97" s="60"/>
      <c r="T97" s="60"/>
      <c r="U97" s="60"/>
      <c r="V97" s="60"/>
      <c r="W97" s="60"/>
    </row>
    <row r="98" spans="1:23" s="16" customFormat="1" ht="13.5" customHeight="1" x14ac:dyDescent="0.25">
      <c r="A98" s="55"/>
      <c r="B98" s="461"/>
      <c r="C98" s="446"/>
      <c r="D98" s="446"/>
      <c r="E98" s="446"/>
      <c r="F98" s="61" t="s">
        <v>88</v>
      </c>
      <c r="G98" s="62">
        <f>+E97*0.1</f>
        <v>0.11030000000000001</v>
      </c>
      <c r="H98" s="63"/>
      <c r="I98" s="64"/>
      <c r="J98" s="65">
        <v>0.32500000000000001</v>
      </c>
      <c r="K98" s="446"/>
      <c r="L98" s="446"/>
      <c r="M98" s="446"/>
      <c r="N98" s="446"/>
      <c r="O98" s="446"/>
      <c r="P98" s="450"/>
      <c r="Q98" s="188"/>
      <c r="R98" s="60"/>
      <c r="S98" s="60"/>
      <c r="T98" s="60"/>
      <c r="U98" s="60"/>
      <c r="V98" s="60"/>
      <c r="W98" s="60"/>
    </row>
    <row r="99" spans="1:23" s="16" customFormat="1" ht="13.5" customHeight="1" x14ac:dyDescent="0.25">
      <c r="A99" s="55"/>
      <c r="B99" s="461"/>
      <c r="C99" s="446"/>
      <c r="D99" s="446"/>
      <c r="E99" s="446"/>
      <c r="F99" s="61" t="s">
        <v>89</v>
      </c>
      <c r="G99" s="62">
        <f>+E97*0.2</f>
        <v>0.22060000000000002</v>
      </c>
      <c r="H99" s="63"/>
      <c r="I99" s="64"/>
      <c r="J99" s="65">
        <v>0.36</v>
      </c>
      <c r="K99" s="446"/>
      <c r="L99" s="446"/>
      <c r="M99" s="446"/>
      <c r="N99" s="446"/>
      <c r="O99" s="446"/>
      <c r="P99" s="450"/>
      <c r="Q99" s="188"/>
      <c r="R99" s="60"/>
      <c r="S99" s="60"/>
      <c r="T99" s="60"/>
      <c r="U99" s="60"/>
      <c r="V99" s="60"/>
      <c r="W99" s="60"/>
    </row>
    <row r="100" spans="1:23" s="16" customFormat="1" ht="13.5" customHeight="1" x14ac:dyDescent="0.25">
      <c r="A100" s="55"/>
      <c r="B100" s="461"/>
      <c r="C100" s="446"/>
      <c r="D100" s="446"/>
      <c r="E100" s="446"/>
      <c r="F100" s="61" t="s">
        <v>90</v>
      </c>
      <c r="G100" s="62">
        <f>+E97*0.3</f>
        <v>0.33089999999999997</v>
      </c>
      <c r="H100" s="63"/>
      <c r="I100" s="64"/>
      <c r="J100" s="65">
        <v>0.375</v>
      </c>
      <c r="K100" s="446"/>
      <c r="L100" s="446"/>
      <c r="M100" s="446"/>
      <c r="N100" s="446"/>
      <c r="O100" s="446"/>
      <c r="P100" s="450"/>
      <c r="Q100" s="188"/>
      <c r="R100" s="60"/>
      <c r="S100" s="60"/>
      <c r="T100" s="60"/>
      <c r="U100" s="60"/>
      <c r="V100" s="60"/>
      <c r="W100" s="60"/>
    </row>
    <row r="101" spans="1:23" s="16" customFormat="1" ht="13.5" customHeight="1" x14ac:dyDescent="0.25">
      <c r="A101" s="55"/>
      <c r="B101" s="461"/>
      <c r="C101" s="464"/>
      <c r="D101" s="464"/>
      <c r="E101" s="446"/>
      <c r="F101" s="61" t="s">
        <v>91</v>
      </c>
      <c r="G101" s="62">
        <f>+E97*0.4</f>
        <v>0.44120000000000004</v>
      </c>
      <c r="H101" s="63"/>
      <c r="I101" s="64"/>
      <c r="J101" s="65">
        <v>0.41899999999999998</v>
      </c>
      <c r="K101" s="446"/>
      <c r="L101" s="446"/>
      <c r="M101" s="446"/>
      <c r="N101" s="446"/>
      <c r="O101" s="446"/>
      <c r="P101" s="450"/>
      <c r="Q101" s="188"/>
      <c r="R101" s="60"/>
      <c r="S101" s="60"/>
      <c r="T101" s="60"/>
      <c r="U101" s="60"/>
      <c r="V101" s="60"/>
      <c r="W101" s="60"/>
    </row>
    <row r="102" spans="1:23" s="16" customFormat="1" ht="13.5" customHeight="1" x14ac:dyDescent="0.25">
      <c r="A102" s="55"/>
      <c r="B102" s="461"/>
      <c r="C102" s="452">
        <f>+C84</f>
        <v>32.18</v>
      </c>
      <c r="D102" s="453">
        <f>+D84</f>
        <v>0.54500000000000004</v>
      </c>
      <c r="E102" s="446"/>
      <c r="F102" s="61" t="s">
        <v>29</v>
      </c>
      <c r="G102" s="62">
        <f>+E97*0.5</f>
        <v>0.55149999999999999</v>
      </c>
      <c r="H102" s="63"/>
      <c r="I102" s="64"/>
      <c r="J102" s="65">
        <v>0.45700000000000002</v>
      </c>
      <c r="K102" s="446"/>
      <c r="L102" s="446"/>
      <c r="M102" s="446"/>
      <c r="N102" s="446"/>
      <c r="O102" s="446"/>
      <c r="P102" s="450"/>
      <c r="Q102" s="188"/>
      <c r="R102" s="60"/>
      <c r="S102" s="60"/>
      <c r="T102" s="60"/>
      <c r="U102" s="60"/>
      <c r="V102" s="60"/>
      <c r="W102" s="60"/>
    </row>
    <row r="103" spans="1:23" s="16" customFormat="1" ht="13.5" customHeight="1" x14ac:dyDescent="0.25">
      <c r="A103" s="55"/>
      <c r="B103" s="461"/>
      <c r="C103" s="446"/>
      <c r="D103" s="446"/>
      <c r="E103" s="446"/>
      <c r="F103" s="61" t="s">
        <v>92</v>
      </c>
      <c r="G103" s="62">
        <f>+E97*0.6</f>
        <v>0.66179999999999994</v>
      </c>
      <c r="H103" s="63"/>
      <c r="I103" s="64"/>
      <c r="J103" s="65">
        <v>0.48199999999999998</v>
      </c>
      <c r="K103" s="446"/>
      <c r="L103" s="446"/>
      <c r="M103" s="446"/>
      <c r="N103" s="446"/>
      <c r="O103" s="446"/>
      <c r="P103" s="450"/>
      <c r="Q103" s="188"/>
      <c r="R103" s="60"/>
      <c r="S103" s="60"/>
      <c r="T103" s="60"/>
      <c r="U103" s="60"/>
      <c r="V103" s="60"/>
      <c r="W103" s="60"/>
    </row>
    <row r="104" spans="1:23" s="16" customFormat="1" ht="13.5" customHeight="1" x14ac:dyDescent="0.25">
      <c r="A104" s="55"/>
      <c r="B104" s="461"/>
      <c r="C104" s="446"/>
      <c r="D104" s="446"/>
      <c r="E104" s="446"/>
      <c r="F104" s="61" t="s">
        <v>93</v>
      </c>
      <c r="G104" s="62">
        <f>+E97*0.7</f>
        <v>0.7720999999999999</v>
      </c>
      <c r="H104" s="63"/>
      <c r="I104" s="64"/>
      <c r="J104" s="65">
        <v>0.496</v>
      </c>
      <c r="K104" s="446"/>
      <c r="L104" s="446"/>
      <c r="M104" s="446"/>
      <c r="N104" s="446"/>
      <c r="O104" s="446"/>
      <c r="P104" s="450"/>
      <c r="Q104" s="188"/>
      <c r="R104" s="60"/>
      <c r="S104" s="60"/>
      <c r="T104" s="60"/>
      <c r="U104" s="60"/>
      <c r="V104" s="60"/>
      <c r="W104" s="60"/>
    </row>
    <row r="105" spans="1:23" s="16" customFormat="1" ht="13.5" customHeight="1" x14ac:dyDescent="0.25">
      <c r="A105" s="55"/>
      <c r="B105" s="461"/>
      <c r="C105" s="446"/>
      <c r="D105" s="446"/>
      <c r="E105" s="446"/>
      <c r="F105" s="61" t="s">
        <v>94</v>
      </c>
      <c r="G105" s="62">
        <f>+E97*0.8</f>
        <v>0.88240000000000007</v>
      </c>
      <c r="H105" s="63"/>
      <c r="I105" s="64"/>
      <c r="J105" s="65">
        <v>0.50700000000000001</v>
      </c>
      <c r="K105" s="446"/>
      <c r="L105" s="446"/>
      <c r="M105" s="446"/>
      <c r="N105" s="446"/>
      <c r="O105" s="446"/>
      <c r="P105" s="450"/>
      <c r="Q105" s="188"/>
      <c r="R105" s="60"/>
      <c r="S105" s="60"/>
      <c r="T105" s="60"/>
      <c r="U105" s="60"/>
      <c r="V105" s="60"/>
      <c r="W105" s="60"/>
    </row>
    <row r="106" spans="1:23" s="16" customFormat="1" ht="13.5" customHeight="1" x14ac:dyDescent="0.25">
      <c r="A106" s="55"/>
      <c r="B106" s="461"/>
      <c r="C106" s="446"/>
      <c r="D106" s="446"/>
      <c r="E106" s="446"/>
      <c r="F106" s="61" t="s">
        <v>95</v>
      </c>
      <c r="G106" s="62">
        <f>+E97*0.9</f>
        <v>0.99270000000000003</v>
      </c>
      <c r="H106" s="63"/>
      <c r="I106" s="64"/>
      <c r="J106" s="65">
        <v>0.52900000000000003</v>
      </c>
      <c r="K106" s="446"/>
      <c r="L106" s="446"/>
      <c r="M106" s="446"/>
      <c r="N106" s="446"/>
      <c r="O106" s="446"/>
      <c r="P106" s="450"/>
      <c r="Q106" s="188"/>
      <c r="R106" s="60"/>
      <c r="S106" s="60"/>
      <c r="T106" s="60"/>
      <c r="U106" s="60"/>
      <c r="V106" s="60"/>
      <c r="W106" s="60"/>
    </row>
    <row r="107" spans="1:23" s="16" customFormat="1" ht="15.75" thickBot="1" x14ac:dyDescent="0.3">
      <c r="A107" s="55"/>
      <c r="B107" s="462"/>
      <c r="C107" s="447"/>
      <c r="D107" s="447"/>
      <c r="E107" s="447"/>
      <c r="F107" s="66" t="s">
        <v>30</v>
      </c>
      <c r="G107" s="66">
        <f>+E97</f>
        <v>1.103</v>
      </c>
      <c r="H107" s="67"/>
      <c r="I107" s="68"/>
      <c r="J107" s="69">
        <v>0.53600000000000003</v>
      </c>
      <c r="K107" s="447"/>
      <c r="L107" s="447"/>
      <c r="M107" s="447"/>
      <c r="N107" s="447"/>
      <c r="O107" s="447"/>
      <c r="P107" s="451"/>
      <c r="Q107" s="188"/>
      <c r="R107" s="60"/>
      <c r="S107" s="60"/>
      <c r="T107" s="60"/>
      <c r="U107" s="60"/>
      <c r="V107" s="60"/>
      <c r="W107" s="60"/>
    </row>
    <row r="108" spans="1:23" s="3" customFormat="1" ht="12.75" x14ac:dyDescent="0.2">
      <c r="A108" s="8"/>
      <c r="B108" s="432"/>
      <c r="C108" s="433"/>
      <c r="D108" s="433"/>
      <c r="E108" s="433"/>
      <c r="F108" s="433"/>
      <c r="G108" s="433"/>
      <c r="H108" s="433"/>
      <c r="I108" s="433"/>
      <c r="J108" s="433"/>
      <c r="K108" s="13">
        <f>ROUND(+M108/L108,3)</f>
        <v>0.58699999999999997</v>
      </c>
      <c r="L108" s="12">
        <f>SUM(L19:L107)</f>
        <v>17.940000000000001</v>
      </c>
      <c r="M108" s="11">
        <f>SUM(M19:M107)</f>
        <v>10.5389</v>
      </c>
      <c r="N108" s="9">
        <f>ROUND(SUM(N19:N107),0)</f>
        <v>100</v>
      </c>
      <c r="O108" s="436" t="s">
        <v>31</v>
      </c>
      <c r="P108" s="438"/>
    </row>
    <row r="109" spans="1:23" s="3" customFormat="1" ht="15" customHeight="1" thickBot="1" x14ac:dyDescent="0.25">
      <c r="A109" s="8"/>
      <c r="B109" s="434"/>
      <c r="C109" s="435"/>
      <c r="D109" s="435"/>
      <c r="E109" s="435"/>
      <c r="F109" s="435"/>
      <c r="G109" s="435"/>
      <c r="H109" s="435"/>
      <c r="I109" s="435"/>
      <c r="J109" s="435"/>
      <c r="K109" s="10" t="s">
        <v>32</v>
      </c>
      <c r="L109" s="10" t="s">
        <v>48</v>
      </c>
      <c r="M109" s="10" t="s">
        <v>101</v>
      </c>
      <c r="N109" s="10" t="s">
        <v>33</v>
      </c>
      <c r="O109" s="437"/>
      <c r="P109" s="439"/>
    </row>
    <row r="110" spans="1:23" s="16" customFormat="1" ht="15.75" thickBot="1" x14ac:dyDescent="0.3">
      <c r="A110" s="15"/>
      <c r="B110" s="440" t="s">
        <v>96</v>
      </c>
      <c r="C110" s="441"/>
      <c r="D110" s="441"/>
      <c r="E110" s="441"/>
      <c r="F110" s="442"/>
      <c r="G110" s="440" t="s">
        <v>97</v>
      </c>
      <c r="H110" s="441"/>
      <c r="I110" s="441"/>
      <c r="J110" s="441"/>
      <c r="K110" s="442"/>
      <c r="L110" s="443" t="s">
        <v>49</v>
      </c>
      <c r="M110" s="441"/>
      <c r="N110" s="441"/>
      <c r="O110" s="441"/>
      <c r="P110" s="444"/>
    </row>
    <row r="111" spans="1:23" s="16" customFormat="1" x14ac:dyDescent="0.25">
      <c r="A111" s="15"/>
      <c r="B111" s="402"/>
      <c r="C111" s="403"/>
      <c r="D111" s="403"/>
      <c r="E111" s="403"/>
      <c r="F111" s="404"/>
      <c r="G111" s="402"/>
      <c r="H111" s="403"/>
      <c r="I111" s="403"/>
      <c r="J111" s="403"/>
      <c r="K111" s="404"/>
      <c r="L111" s="411" t="s">
        <v>98</v>
      </c>
      <c r="M111" s="412"/>
      <c r="N111" s="412"/>
      <c r="O111" s="413">
        <f>+AVERAGE(E18:E88)</f>
        <v>0.71592857142857136</v>
      </c>
      <c r="P111" s="414"/>
    </row>
    <row r="112" spans="1:23" s="16" customFormat="1" ht="15.75" thickBot="1" x14ac:dyDescent="0.3">
      <c r="A112" s="15"/>
      <c r="B112" s="405"/>
      <c r="C112" s="406"/>
      <c r="D112" s="406"/>
      <c r="E112" s="406"/>
      <c r="F112" s="407"/>
      <c r="G112" s="405"/>
      <c r="H112" s="406"/>
      <c r="I112" s="406"/>
      <c r="J112" s="406"/>
      <c r="K112" s="407"/>
      <c r="L112" s="415" t="s">
        <v>99</v>
      </c>
      <c r="M112" s="416"/>
      <c r="N112" s="416"/>
      <c r="O112" s="417">
        <f>MAX(E18:E88)</f>
        <v>1.103</v>
      </c>
      <c r="P112" s="418"/>
    </row>
    <row r="113" spans="1:16" s="16" customFormat="1" ht="18" customHeight="1" x14ac:dyDescent="0.25">
      <c r="A113" s="189"/>
      <c r="B113" s="405"/>
      <c r="C113" s="406"/>
      <c r="D113" s="406"/>
      <c r="E113" s="406"/>
      <c r="F113" s="407"/>
      <c r="G113" s="405"/>
      <c r="H113" s="406"/>
      <c r="I113" s="406"/>
      <c r="J113" s="406"/>
      <c r="K113" s="407"/>
      <c r="L113" s="419" t="s">
        <v>135</v>
      </c>
      <c r="M113" s="420"/>
      <c r="N113" s="420"/>
      <c r="O113" s="420"/>
      <c r="P113" s="421"/>
    </row>
    <row r="114" spans="1:16" s="16" customFormat="1" ht="87.75" customHeight="1" x14ac:dyDescent="0.25">
      <c r="A114" s="15"/>
      <c r="B114" s="405"/>
      <c r="C114" s="406"/>
      <c r="D114" s="406"/>
      <c r="E114" s="406"/>
      <c r="F114" s="407"/>
      <c r="G114" s="405"/>
      <c r="H114" s="406"/>
      <c r="I114" s="406"/>
      <c r="J114" s="406"/>
      <c r="K114" s="407"/>
      <c r="L114" s="422"/>
      <c r="M114" s="423"/>
      <c r="N114" s="423"/>
      <c r="O114" s="423"/>
      <c r="P114" s="424"/>
    </row>
    <row r="115" spans="1:16" s="16" customFormat="1" ht="15.75" thickBot="1" x14ac:dyDescent="0.3">
      <c r="A115" s="15"/>
      <c r="B115" s="405"/>
      <c r="C115" s="406"/>
      <c r="D115" s="406"/>
      <c r="E115" s="406"/>
      <c r="F115" s="407"/>
      <c r="G115" s="405"/>
      <c r="H115" s="406"/>
      <c r="I115" s="406"/>
      <c r="J115" s="406"/>
      <c r="K115" s="407"/>
      <c r="L115" s="425"/>
      <c r="M115" s="426"/>
      <c r="N115" s="426"/>
      <c r="O115" s="426"/>
      <c r="P115" s="427"/>
    </row>
    <row r="116" spans="1:16" s="16" customFormat="1" ht="15.75" customHeight="1" thickBot="1" x14ac:dyDescent="0.3">
      <c r="A116" s="15"/>
      <c r="B116" s="405"/>
      <c r="C116" s="406"/>
      <c r="D116" s="406"/>
      <c r="E116" s="406"/>
      <c r="F116" s="407"/>
      <c r="G116" s="405"/>
      <c r="H116" s="406"/>
      <c r="I116" s="406"/>
      <c r="J116" s="406"/>
      <c r="K116" s="407"/>
      <c r="L116" s="428" t="s">
        <v>34</v>
      </c>
      <c r="M116" s="429"/>
      <c r="N116" s="429"/>
      <c r="O116" s="429"/>
      <c r="P116" s="93">
        <v>4.38</v>
      </c>
    </row>
    <row r="117" spans="1:16" s="16" customFormat="1" ht="14.25" customHeight="1" thickBot="1" x14ac:dyDescent="0.3">
      <c r="A117" s="15"/>
      <c r="B117" s="408"/>
      <c r="C117" s="409"/>
      <c r="D117" s="409"/>
      <c r="E117" s="409"/>
      <c r="F117" s="410"/>
      <c r="G117" s="408"/>
      <c r="H117" s="409"/>
      <c r="I117" s="409"/>
      <c r="J117" s="409"/>
      <c r="K117" s="410"/>
      <c r="L117" s="430" t="s">
        <v>107</v>
      </c>
      <c r="M117" s="431"/>
      <c r="N117" s="431"/>
      <c r="O117" s="431"/>
      <c r="P117" s="93" t="s">
        <v>136</v>
      </c>
    </row>
    <row r="118" spans="1:16" ht="23.45" customHeight="1" thickBot="1" x14ac:dyDescent="0.3">
      <c r="A118" s="5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</row>
    <row r="119" spans="1:16" ht="15.75" thickBot="1" x14ac:dyDescent="0.3">
      <c r="A119" s="391" t="s">
        <v>35</v>
      </c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2"/>
      <c r="P119" s="393"/>
    </row>
    <row r="120" spans="1:16" ht="159" customHeight="1" thickBot="1" x14ac:dyDescent="0.3">
      <c r="A120" s="4"/>
      <c r="B120" s="394"/>
      <c r="C120" s="395"/>
      <c r="D120" s="395"/>
      <c r="E120" s="395"/>
      <c r="F120" s="396"/>
      <c r="G120" s="394"/>
      <c r="H120" s="395"/>
      <c r="I120" s="395"/>
      <c r="J120" s="395"/>
      <c r="K120" s="396"/>
      <c r="L120" s="394"/>
      <c r="M120" s="395"/>
      <c r="N120" s="395"/>
      <c r="O120" s="395"/>
      <c r="P120" s="397"/>
    </row>
    <row r="121" spans="1:16" s="7" customFormat="1" ht="21.75" customHeight="1" thickBot="1" x14ac:dyDescent="0.3">
      <c r="A121" s="190"/>
      <c r="B121" s="398" t="s">
        <v>102</v>
      </c>
      <c r="C121" s="399"/>
      <c r="D121" s="399"/>
      <c r="E121" s="399"/>
      <c r="F121" s="400"/>
      <c r="G121" s="398" t="s">
        <v>100</v>
      </c>
      <c r="H121" s="399"/>
      <c r="I121" s="399"/>
      <c r="J121" s="399"/>
      <c r="K121" s="400"/>
      <c r="L121" s="398" t="s">
        <v>103</v>
      </c>
      <c r="M121" s="399"/>
      <c r="N121" s="399"/>
      <c r="O121" s="399"/>
      <c r="P121" s="401"/>
    </row>
    <row r="122" spans="1:16" s="7" customFormat="1" ht="16.899999999999999" customHeight="1" thickBot="1" x14ac:dyDescent="0.3">
      <c r="A122" s="6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385"/>
      <c r="M122" s="385"/>
      <c r="N122" s="385"/>
      <c r="O122" s="385"/>
      <c r="P122" s="386"/>
    </row>
    <row r="123" spans="1:16" s="3" customFormat="1" ht="15.75" customHeight="1" thickBot="1" x14ac:dyDescent="0.25">
      <c r="A123" s="387" t="s">
        <v>36</v>
      </c>
      <c r="B123" s="388"/>
      <c r="C123" s="388"/>
      <c r="D123" s="388" t="s">
        <v>137</v>
      </c>
      <c r="E123" s="388"/>
      <c r="F123" s="388"/>
      <c r="G123" s="388"/>
      <c r="H123" s="388"/>
      <c r="I123" s="388"/>
      <c r="J123" s="388" t="s">
        <v>37</v>
      </c>
      <c r="K123" s="388"/>
      <c r="L123" s="388"/>
      <c r="M123" s="388"/>
      <c r="N123" s="388"/>
      <c r="O123" s="388"/>
      <c r="P123" s="389"/>
    </row>
  </sheetData>
  <mergeCells count="24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22:P122"/>
    <mergeCell ref="A123:C123"/>
    <mergeCell ref="D123:I123"/>
    <mergeCell ref="J123:K123"/>
    <mergeCell ref="L123:P123"/>
    <mergeCell ref="B118:P118"/>
    <mergeCell ref="A119:P119"/>
    <mergeCell ref="B120:F120"/>
    <mergeCell ref="G120:K120"/>
    <mergeCell ref="L120:P120"/>
    <mergeCell ref="B121:F121"/>
    <mergeCell ref="G121:K121"/>
    <mergeCell ref="L121:P12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43"/>
  <sheetViews>
    <sheetView view="pageBreakPreview" zoomScaleSheetLayoutView="100" zoomScalePageLayoutView="110" workbookViewId="0">
      <selection activeCell="A6" sqref="A6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4" ht="4.9000000000000004" customHeight="1" thickBot="1" x14ac:dyDescent="0.3">
      <c r="J1" s="14"/>
    </row>
    <row r="2" spans="1:24" s="2" customFormat="1" ht="30" customHeight="1" x14ac:dyDescent="0.25">
      <c r="A2" s="186"/>
      <c r="B2" s="634"/>
      <c r="C2" s="635"/>
      <c r="D2" s="636"/>
      <c r="E2" s="571" t="s">
        <v>147</v>
      </c>
      <c r="F2" s="572"/>
      <c r="G2" s="572"/>
      <c r="H2" s="572"/>
      <c r="I2" s="572"/>
      <c r="J2" s="572"/>
      <c r="K2" s="572"/>
      <c r="L2" s="572"/>
      <c r="M2" s="572"/>
      <c r="N2" s="572"/>
      <c r="O2" s="637"/>
      <c r="P2" s="575"/>
    </row>
    <row r="3" spans="1:24" s="2" customFormat="1" ht="25.5" customHeight="1" thickBot="1" x14ac:dyDescent="0.3">
      <c r="A3" s="186"/>
      <c r="B3" s="638"/>
      <c r="C3" s="639"/>
      <c r="D3" s="640"/>
      <c r="E3" s="573"/>
      <c r="F3" s="574"/>
      <c r="G3" s="574"/>
      <c r="H3" s="574"/>
      <c r="I3" s="574"/>
      <c r="J3" s="574"/>
      <c r="K3" s="574"/>
      <c r="L3" s="574"/>
      <c r="M3" s="574"/>
      <c r="N3" s="574"/>
      <c r="O3" s="641"/>
      <c r="P3" s="576"/>
    </row>
    <row r="4" spans="1:24" s="16" customFormat="1" ht="11.25" customHeight="1" thickBot="1" x14ac:dyDescent="0.3">
      <c r="A4" s="15"/>
      <c r="B4" s="577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2"/>
      <c r="P4" s="502"/>
      <c r="Q4" s="2"/>
      <c r="R4" s="2"/>
      <c r="S4" s="2"/>
      <c r="T4" s="2"/>
      <c r="U4" s="2"/>
      <c r="V4" s="2"/>
      <c r="W4" s="2"/>
      <c r="X4" s="2"/>
    </row>
    <row r="5" spans="1:24" s="19" customFormat="1" ht="31.5" customHeight="1" thickBot="1" x14ac:dyDescent="0.3">
      <c r="A5" s="17"/>
      <c r="B5" s="72" t="s">
        <v>0</v>
      </c>
      <c r="C5" s="578">
        <v>43110</v>
      </c>
      <c r="D5" s="579"/>
      <c r="E5" s="73" t="s">
        <v>50</v>
      </c>
      <c r="F5" s="74">
        <v>3</v>
      </c>
      <c r="G5" s="75" t="s">
        <v>1</v>
      </c>
      <c r="H5" s="580" t="s">
        <v>148</v>
      </c>
      <c r="I5" s="581"/>
      <c r="J5" s="581"/>
      <c r="K5" s="581"/>
      <c r="L5" s="581"/>
      <c r="M5" s="581"/>
      <c r="N5" s="581"/>
      <c r="O5" s="581"/>
      <c r="P5" s="582"/>
      <c r="Q5" s="18"/>
      <c r="R5" s="18"/>
      <c r="S5" s="18"/>
      <c r="T5" s="18"/>
      <c r="U5" s="18"/>
      <c r="V5" s="18"/>
      <c r="W5" s="18"/>
      <c r="X5" s="18"/>
    </row>
    <row r="6" spans="1:24" s="80" customFormat="1" ht="21.75" customHeight="1" thickBot="1" x14ac:dyDescent="0.3">
      <c r="A6" s="76"/>
      <c r="B6" s="555" t="s">
        <v>2</v>
      </c>
      <c r="C6" s="556"/>
      <c r="D6" s="557" t="s">
        <v>138</v>
      </c>
      <c r="E6" s="558"/>
      <c r="F6" s="558"/>
      <c r="G6" s="558"/>
      <c r="H6" s="558"/>
      <c r="I6" s="559"/>
      <c r="J6" s="77" t="s">
        <v>3</v>
      </c>
      <c r="K6" s="560" t="s">
        <v>139</v>
      </c>
      <c r="L6" s="559"/>
      <c r="M6" s="560" t="s">
        <v>140</v>
      </c>
      <c r="N6" s="561"/>
      <c r="O6" s="78" t="s">
        <v>51</v>
      </c>
      <c r="P6" s="79">
        <v>195</v>
      </c>
    </row>
    <row r="7" spans="1:24" s="19" customFormat="1" ht="21.75" customHeight="1" x14ac:dyDescent="0.25">
      <c r="B7" s="562" t="s">
        <v>52</v>
      </c>
      <c r="C7" s="563" t="s">
        <v>53</v>
      </c>
      <c r="D7" s="533"/>
      <c r="E7" s="81"/>
      <c r="F7" s="564" t="s">
        <v>54</v>
      </c>
      <c r="G7" s="565"/>
      <c r="H7" s="565"/>
      <c r="I7" s="565"/>
      <c r="J7" s="566" t="s">
        <v>55</v>
      </c>
      <c r="K7" s="567"/>
      <c r="L7" s="567"/>
      <c r="M7" s="568"/>
      <c r="N7" s="569" t="s">
        <v>104</v>
      </c>
      <c r="O7" s="570"/>
      <c r="P7" s="82" t="s">
        <v>56</v>
      </c>
    </row>
    <row r="8" spans="1:24" s="19" customFormat="1" ht="21.75" customHeight="1" thickBot="1" x14ac:dyDescent="0.3">
      <c r="B8" s="508"/>
      <c r="C8" s="524" t="s">
        <v>57</v>
      </c>
      <c r="D8" s="523"/>
      <c r="E8" s="83" t="s">
        <v>4</v>
      </c>
      <c r="F8" s="534" t="s">
        <v>5</v>
      </c>
      <c r="G8" s="535"/>
      <c r="H8" s="535"/>
      <c r="I8" s="535"/>
      <c r="J8" s="536"/>
      <c r="K8" s="537"/>
      <c r="L8" s="537"/>
      <c r="M8" s="538"/>
      <c r="N8" s="539"/>
      <c r="O8" s="540"/>
      <c r="P8" s="84"/>
    </row>
    <row r="9" spans="1:24" s="19" customFormat="1" ht="21.75" customHeight="1" x14ac:dyDescent="0.25">
      <c r="B9" s="541" t="s">
        <v>6</v>
      </c>
      <c r="C9" s="544" t="s">
        <v>58</v>
      </c>
      <c r="D9" s="545" t="s">
        <v>59</v>
      </c>
      <c r="E9" s="530"/>
      <c r="F9" s="85"/>
      <c r="G9" s="546" t="s">
        <v>7</v>
      </c>
      <c r="H9" s="547" t="s">
        <v>8</v>
      </c>
      <c r="I9" s="533"/>
      <c r="J9" s="86"/>
      <c r="K9" s="544" t="s">
        <v>60</v>
      </c>
      <c r="L9" s="548" t="s">
        <v>105</v>
      </c>
      <c r="M9" s="549"/>
      <c r="N9" s="550"/>
      <c r="O9" s="550"/>
      <c r="P9" s="551"/>
    </row>
    <row r="10" spans="1:24" s="19" customFormat="1" ht="21.75" customHeight="1" thickBot="1" x14ac:dyDescent="0.3">
      <c r="B10" s="542"/>
      <c r="C10" s="489"/>
      <c r="D10" s="528" t="s">
        <v>61</v>
      </c>
      <c r="E10" s="523"/>
      <c r="F10" s="87" t="s">
        <v>4</v>
      </c>
      <c r="G10" s="489"/>
      <c r="H10" s="528" t="s">
        <v>9</v>
      </c>
      <c r="I10" s="523"/>
      <c r="J10" s="88" t="s">
        <v>4</v>
      </c>
      <c r="K10" s="489"/>
      <c r="L10" s="552"/>
      <c r="M10" s="553"/>
      <c r="N10" s="553"/>
      <c r="O10" s="553"/>
      <c r="P10" s="554"/>
    </row>
    <row r="11" spans="1:24" s="19" customFormat="1" ht="21.75" customHeight="1" x14ac:dyDescent="0.25">
      <c r="A11" s="17"/>
      <c r="B11" s="542"/>
      <c r="C11" s="529" t="s">
        <v>10</v>
      </c>
      <c r="D11" s="530"/>
      <c r="E11" s="89">
        <v>0.34027777777777773</v>
      </c>
      <c r="F11" s="531" t="s">
        <v>11</v>
      </c>
      <c r="G11" s="530"/>
      <c r="H11" s="90">
        <v>0.11</v>
      </c>
      <c r="I11" s="532" t="s">
        <v>12</v>
      </c>
      <c r="J11" s="533"/>
      <c r="K11" s="187">
        <v>26</v>
      </c>
      <c r="L11" s="529" t="s">
        <v>13</v>
      </c>
      <c r="M11" s="530"/>
      <c r="N11" s="91">
        <v>35.700000000000003</v>
      </c>
      <c r="O11" s="520" t="s">
        <v>62</v>
      </c>
      <c r="P11" s="521"/>
    </row>
    <row r="12" spans="1:24" s="19" customFormat="1" ht="21.75" customHeight="1" thickBot="1" x14ac:dyDescent="0.3">
      <c r="A12" s="17"/>
      <c r="B12" s="543"/>
      <c r="C12" s="522" t="s">
        <v>14</v>
      </c>
      <c r="D12" s="523"/>
      <c r="E12" s="89">
        <v>0.52777777777777779</v>
      </c>
      <c r="F12" s="524" t="s">
        <v>15</v>
      </c>
      <c r="G12" s="523"/>
      <c r="H12" s="90">
        <v>0.13</v>
      </c>
      <c r="I12" s="525" t="s">
        <v>16</v>
      </c>
      <c r="J12" s="523"/>
      <c r="K12" s="89">
        <v>0.39374999999999999</v>
      </c>
      <c r="L12" s="522" t="s">
        <v>17</v>
      </c>
      <c r="M12" s="523"/>
      <c r="N12" s="92">
        <v>2</v>
      </c>
      <c r="O12" s="526">
        <v>1.06</v>
      </c>
      <c r="P12" s="527"/>
    </row>
    <row r="13" spans="1:24" s="19" customFormat="1" ht="21.75" customHeight="1" x14ac:dyDescent="0.25">
      <c r="A13" s="17"/>
      <c r="B13" s="507" t="s">
        <v>18</v>
      </c>
      <c r="C13" s="509" t="s">
        <v>63</v>
      </c>
      <c r="D13" s="510"/>
      <c r="E13" s="510"/>
      <c r="F13" s="511" t="s">
        <v>64</v>
      </c>
      <c r="G13" s="510"/>
      <c r="H13" s="510"/>
      <c r="I13" s="510"/>
      <c r="J13" s="511" t="s">
        <v>65</v>
      </c>
      <c r="K13" s="510"/>
      <c r="L13" s="510"/>
      <c r="M13" s="510"/>
      <c r="N13" s="512" t="s">
        <v>66</v>
      </c>
      <c r="O13" s="510"/>
      <c r="P13" s="513"/>
      <c r="Q13" s="18"/>
      <c r="R13" s="18"/>
      <c r="S13" s="18"/>
      <c r="T13" s="18"/>
      <c r="U13" s="18"/>
      <c r="V13" s="18"/>
      <c r="W13" s="18"/>
      <c r="X13" s="18"/>
    </row>
    <row r="14" spans="1:24" s="19" customFormat="1" ht="21.75" customHeight="1" x14ac:dyDescent="0.25">
      <c r="A14" s="17"/>
      <c r="B14" s="422"/>
      <c r="C14" s="514" t="s">
        <v>67</v>
      </c>
      <c r="D14" s="515"/>
      <c r="E14" s="515"/>
      <c r="F14" s="516" t="s">
        <v>68</v>
      </c>
      <c r="G14" s="515"/>
      <c r="H14" s="515"/>
      <c r="I14" s="515"/>
      <c r="J14" s="517" t="s">
        <v>69</v>
      </c>
      <c r="K14" s="515"/>
      <c r="L14" s="515"/>
      <c r="M14" s="515"/>
      <c r="N14" s="518"/>
      <c r="O14" s="504"/>
      <c r="P14" s="424"/>
      <c r="Q14" s="18"/>
      <c r="R14" s="18"/>
      <c r="S14" s="18"/>
      <c r="T14" s="18"/>
      <c r="U14" s="18"/>
      <c r="V14" s="18"/>
      <c r="W14" s="18"/>
      <c r="X14" s="18"/>
    </row>
    <row r="15" spans="1:24" s="19" customFormat="1" ht="21.75" customHeight="1" thickBot="1" x14ac:dyDescent="0.3">
      <c r="A15" s="17"/>
      <c r="B15" s="508"/>
      <c r="C15" s="519" t="s">
        <v>70</v>
      </c>
      <c r="D15" s="491"/>
      <c r="E15" s="491"/>
      <c r="F15" s="491" t="s">
        <v>71</v>
      </c>
      <c r="G15" s="492"/>
      <c r="H15" s="492"/>
      <c r="I15" s="492"/>
      <c r="J15" s="491" t="s">
        <v>72</v>
      </c>
      <c r="K15" s="492"/>
      <c r="L15" s="492"/>
      <c r="M15" s="492"/>
      <c r="N15" s="493"/>
      <c r="O15" s="494"/>
      <c r="P15" s="495"/>
      <c r="Q15" s="18"/>
      <c r="R15" s="18"/>
      <c r="S15" s="18"/>
      <c r="T15" s="18"/>
      <c r="U15" s="18"/>
      <c r="V15" s="18"/>
      <c r="W15" s="18"/>
      <c r="X15" s="18"/>
    </row>
    <row r="16" spans="1:24" s="19" customFormat="1" ht="21.75" customHeight="1" x14ac:dyDescent="0.25">
      <c r="A16" s="17"/>
      <c r="B16" s="496" t="s">
        <v>19</v>
      </c>
      <c r="C16" s="498" t="s">
        <v>20</v>
      </c>
      <c r="D16" s="498" t="s">
        <v>40</v>
      </c>
      <c r="E16" s="500" t="s">
        <v>21</v>
      </c>
      <c r="F16" s="501" t="s">
        <v>41</v>
      </c>
      <c r="G16" s="502"/>
      <c r="H16" s="498" t="s">
        <v>73</v>
      </c>
      <c r="I16" s="505" t="s">
        <v>74</v>
      </c>
      <c r="J16" s="20" t="s">
        <v>42</v>
      </c>
      <c r="K16" s="21"/>
      <c r="L16" s="22" t="s">
        <v>43</v>
      </c>
      <c r="M16" s="22" t="s">
        <v>44</v>
      </c>
      <c r="N16" s="22" t="s">
        <v>44</v>
      </c>
      <c r="O16" s="22" t="s">
        <v>45</v>
      </c>
      <c r="P16" s="23" t="s">
        <v>22</v>
      </c>
    </row>
    <row r="17" spans="1:24" s="19" customFormat="1" ht="21.75" customHeight="1" thickBot="1" x14ac:dyDescent="0.3">
      <c r="A17" s="24"/>
      <c r="B17" s="497"/>
      <c r="C17" s="499"/>
      <c r="D17" s="499"/>
      <c r="E17" s="499"/>
      <c r="F17" s="503"/>
      <c r="G17" s="504"/>
      <c r="H17" s="499"/>
      <c r="I17" s="506"/>
      <c r="J17" s="25" t="s">
        <v>23</v>
      </c>
      <c r="K17" s="26" t="s">
        <v>24</v>
      </c>
      <c r="L17" s="26" t="s">
        <v>46</v>
      </c>
      <c r="M17" s="26" t="s">
        <v>47</v>
      </c>
      <c r="N17" s="26" t="s">
        <v>25</v>
      </c>
      <c r="O17" s="26" t="s">
        <v>26</v>
      </c>
      <c r="P17" s="27" t="s">
        <v>27</v>
      </c>
    </row>
    <row r="18" spans="1:24" s="36" customFormat="1" ht="21.75" customHeight="1" thickBot="1" x14ac:dyDescent="0.3">
      <c r="A18" s="28"/>
      <c r="B18" s="29"/>
      <c r="C18" s="30">
        <f>+O12</f>
        <v>1.06</v>
      </c>
      <c r="D18" s="30">
        <v>0.115</v>
      </c>
      <c r="E18" s="31"/>
      <c r="F18" s="32"/>
      <c r="G18" s="71"/>
      <c r="H18" s="33"/>
      <c r="I18" s="34"/>
      <c r="J18" s="70"/>
      <c r="K18" s="31"/>
      <c r="L18" s="31"/>
      <c r="M18" s="31"/>
      <c r="N18" s="31"/>
      <c r="O18" s="31"/>
      <c r="P18" s="35"/>
      <c r="Q18" s="28"/>
      <c r="R18" s="191"/>
      <c r="S18" s="28"/>
      <c r="T18" s="28"/>
      <c r="U18" s="28"/>
      <c r="V18" s="28"/>
      <c r="W18" s="28"/>
      <c r="X18" s="28"/>
    </row>
    <row r="19" spans="1:24" s="36" customFormat="1" ht="13.5" customHeight="1" x14ac:dyDescent="0.25">
      <c r="A19" s="28"/>
      <c r="B19" s="487">
        <v>1</v>
      </c>
      <c r="C19" s="490">
        <f>+C18+$N$12</f>
        <v>3.06</v>
      </c>
      <c r="D19" s="467">
        <v>0.60099999999999998</v>
      </c>
      <c r="E19" s="467">
        <v>0.36099999999999999</v>
      </c>
      <c r="F19" s="37" t="s">
        <v>75</v>
      </c>
      <c r="G19" s="38">
        <v>0</v>
      </c>
      <c r="H19" s="39"/>
      <c r="I19" s="40"/>
      <c r="J19" s="41">
        <v>8.0000000000000002E-3</v>
      </c>
      <c r="K19" s="467">
        <f>+IF(E19&lt;=0.12,(J21),(IF(E19&lt;0.16,((J20+2*J21+J22)/4),IF(E19&gt;=0.16,((J19+3*J20+2*J21+3*J22+J23)/10)))))</f>
        <v>3.9699999999999999E-2</v>
      </c>
      <c r="L19" s="467">
        <f>ROUND(+(D18+D19)/2*(C19-C18),3)</f>
        <v>0.71599999999999997</v>
      </c>
      <c r="M19" s="467">
        <f>ROUND(+K19*L19,4)</f>
        <v>2.8400000000000002E-2</v>
      </c>
      <c r="N19" s="470">
        <f>ROUND(+M19/$M$128*100,2)</f>
        <v>0.06</v>
      </c>
      <c r="O19" s="471"/>
      <c r="P19" s="472"/>
      <c r="Q19" s="188"/>
      <c r="R19" s="191"/>
      <c r="T19" s="28"/>
      <c r="U19" s="28"/>
      <c r="V19" s="28"/>
      <c r="W19" s="28"/>
      <c r="X19" s="28"/>
    </row>
    <row r="20" spans="1:24" s="36" customFormat="1" ht="13.5" customHeight="1" x14ac:dyDescent="0.25">
      <c r="A20" s="28"/>
      <c r="B20" s="488"/>
      <c r="C20" s="468"/>
      <c r="D20" s="468"/>
      <c r="E20" s="468"/>
      <c r="F20" s="42" t="s">
        <v>76</v>
      </c>
      <c r="G20" s="43">
        <f>IF(E19&lt;0.125,"NA",IF(0.125&lt;=E19,(0.2*E19)))</f>
        <v>7.22E-2</v>
      </c>
      <c r="H20" s="44"/>
      <c r="I20" s="45"/>
      <c r="J20" s="46">
        <v>0.01</v>
      </c>
      <c r="K20" s="468"/>
      <c r="L20" s="468"/>
      <c r="M20" s="468"/>
      <c r="N20" s="468"/>
      <c r="O20" s="468"/>
      <c r="P20" s="473"/>
      <c r="Q20" s="188"/>
      <c r="R20" s="188"/>
      <c r="S20" s="188"/>
      <c r="T20" s="28"/>
      <c r="U20" s="28"/>
      <c r="V20" s="28"/>
      <c r="W20" s="28"/>
      <c r="X20" s="28"/>
    </row>
    <row r="21" spans="1:24" s="36" customFormat="1" ht="13.5" customHeight="1" x14ac:dyDescent="0.25">
      <c r="A21" s="28"/>
      <c r="B21" s="488"/>
      <c r="C21" s="468"/>
      <c r="D21" s="468"/>
      <c r="E21" s="468"/>
      <c r="F21" s="42" t="s">
        <v>77</v>
      </c>
      <c r="G21" s="43">
        <f>+E19*0.4</f>
        <v>0.1444</v>
      </c>
      <c r="H21" s="44"/>
      <c r="I21" s="45"/>
      <c r="J21" s="46">
        <v>4.2999999999999997E-2</v>
      </c>
      <c r="K21" s="468"/>
      <c r="L21" s="468"/>
      <c r="M21" s="468"/>
      <c r="N21" s="468"/>
      <c r="O21" s="468"/>
      <c r="P21" s="473"/>
      <c r="Q21" s="188"/>
      <c r="R21" s="191"/>
      <c r="S21" s="188"/>
      <c r="T21" s="28"/>
      <c r="U21" s="28"/>
      <c r="V21" s="28"/>
      <c r="W21" s="28"/>
      <c r="X21" s="28"/>
    </row>
    <row r="22" spans="1:24" s="36" customFormat="1" ht="13.5" customHeight="1" x14ac:dyDescent="0.25">
      <c r="A22" s="28"/>
      <c r="B22" s="488"/>
      <c r="C22" s="468"/>
      <c r="D22" s="468"/>
      <c r="E22" s="468"/>
      <c r="F22" s="42" t="s">
        <v>78</v>
      </c>
      <c r="G22" s="43">
        <f>IF(E19&lt;0.125,"NA",IF(0.125&lt;=E19,(0.8*E19)))</f>
        <v>0.2888</v>
      </c>
      <c r="H22" s="44"/>
      <c r="I22" s="45"/>
      <c r="J22" s="46">
        <v>6.5000000000000002E-2</v>
      </c>
      <c r="K22" s="468"/>
      <c r="L22" s="468"/>
      <c r="M22" s="468"/>
      <c r="N22" s="468"/>
      <c r="O22" s="468"/>
      <c r="P22" s="473"/>
      <c r="Q22" s="188"/>
      <c r="R22" s="188"/>
      <c r="S22" s="188"/>
      <c r="T22" s="28"/>
      <c r="U22" s="28"/>
      <c r="V22" s="28"/>
      <c r="W22" s="28"/>
      <c r="X22" s="28"/>
    </row>
    <row r="23" spans="1:24" s="36" customFormat="1" ht="13.5" customHeight="1" thickBot="1" x14ac:dyDescent="0.3">
      <c r="A23" s="28"/>
      <c r="B23" s="489"/>
      <c r="C23" s="469"/>
      <c r="D23" s="469"/>
      <c r="E23" s="469"/>
      <c r="F23" s="47" t="s">
        <v>79</v>
      </c>
      <c r="G23" s="48">
        <f>+E19</f>
        <v>0.36099999999999999</v>
      </c>
      <c r="H23" s="49"/>
      <c r="I23" s="50"/>
      <c r="J23" s="51">
        <v>7.8E-2</v>
      </c>
      <c r="K23" s="469"/>
      <c r="L23" s="469"/>
      <c r="M23" s="469"/>
      <c r="N23" s="469"/>
      <c r="O23" s="469"/>
      <c r="P23" s="474"/>
      <c r="Q23" s="188"/>
      <c r="R23" s="191"/>
      <c r="S23" s="188"/>
      <c r="T23" s="28"/>
      <c r="U23" s="28"/>
      <c r="V23" s="28"/>
      <c r="W23" s="28"/>
      <c r="X23" s="28"/>
    </row>
    <row r="24" spans="1:24" s="36" customFormat="1" ht="13.5" customHeight="1" x14ac:dyDescent="0.25">
      <c r="A24" s="28"/>
      <c r="B24" s="487">
        <v>2</v>
      </c>
      <c r="C24" s="490">
        <f>+C19+$N$12</f>
        <v>5.0600000000000005</v>
      </c>
      <c r="D24" s="467">
        <v>1.6879999999999999</v>
      </c>
      <c r="E24" s="467">
        <v>0.93500000000000005</v>
      </c>
      <c r="F24" s="37" t="s">
        <v>75</v>
      </c>
      <c r="G24" s="38">
        <v>0</v>
      </c>
      <c r="H24" s="39"/>
      <c r="I24" s="40"/>
      <c r="J24" s="41">
        <v>0</v>
      </c>
      <c r="K24" s="467">
        <f>(2*J27+J28+J24)/4</f>
        <v>9.4750000000000001E-2</v>
      </c>
      <c r="L24" s="467">
        <f>ROUND(+(D19+D24)/2*(C24-C19),3)</f>
        <v>2.2890000000000001</v>
      </c>
      <c r="M24" s="467">
        <f>ROUND(+K24*L24,4)</f>
        <v>0.21690000000000001</v>
      </c>
      <c r="N24" s="470">
        <f>ROUND(+M24/$M$128*100,2)</f>
        <v>0.44</v>
      </c>
      <c r="O24" s="471"/>
      <c r="P24" s="472"/>
      <c r="Q24" s="188"/>
      <c r="R24" s="191"/>
      <c r="T24" s="28"/>
      <c r="U24" s="28"/>
      <c r="V24" s="28"/>
      <c r="W24" s="28"/>
      <c r="X24" s="28"/>
    </row>
    <row r="25" spans="1:24" s="36" customFormat="1" ht="13.5" customHeight="1" x14ac:dyDescent="0.25">
      <c r="A25" s="28"/>
      <c r="B25" s="488"/>
      <c r="C25" s="468"/>
      <c r="D25" s="468"/>
      <c r="E25" s="468"/>
      <c r="F25" s="42" t="s">
        <v>76</v>
      </c>
      <c r="G25" s="43">
        <f t="shared" ref="G25" si="0">IF(E24&lt;0.125,"NA",IF(0.125&lt;=E24,(0.2*E24)))</f>
        <v>0.18700000000000003</v>
      </c>
      <c r="H25" s="44"/>
      <c r="I25" s="45"/>
      <c r="J25" s="46"/>
      <c r="K25" s="468"/>
      <c r="L25" s="468"/>
      <c r="M25" s="468"/>
      <c r="N25" s="468"/>
      <c r="O25" s="468"/>
      <c r="P25" s="473"/>
      <c r="Q25" s="188"/>
      <c r="R25" s="188"/>
      <c r="S25" s="188"/>
      <c r="T25" s="28"/>
      <c r="U25" s="28"/>
      <c r="V25" s="28"/>
      <c r="W25" s="28"/>
      <c r="X25" s="28"/>
    </row>
    <row r="26" spans="1:24" s="36" customFormat="1" ht="13.5" customHeight="1" x14ac:dyDescent="0.25">
      <c r="A26" s="28"/>
      <c r="B26" s="488"/>
      <c r="C26" s="468"/>
      <c r="D26" s="468"/>
      <c r="E26" s="468"/>
      <c r="F26" s="42" t="s">
        <v>77</v>
      </c>
      <c r="G26" s="43">
        <f t="shared" ref="G26" si="1">+E24*0.4</f>
        <v>0.37400000000000005</v>
      </c>
      <c r="H26" s="44"/>
      <c r="I26" s="45"/>
      <c r="J26" s="46"/>
      <c r="K26" s="468"/>
      <c r="L26" s="468"/>
      <c r="M26" s="468"/>
      <c r="N26" s="468"/>
      <c r="O26" s="468"/>
      <c r="P26" s="473"/>
      <c r="Q26" s="188"/>
      <c r="R26" s="191"/>
      <c r="S26" s="188"/>
      <c r="T26" s="28"/>
      <c r="U26" s="28"/>
      <c r="V26" s="28"/>
      <c r="W26" s="28"/>
      <c r="X26" s="28"/>
    </row>
    <row r="27" spans="1:24" s="36" customFormat="1" ht="13.5" customHeight="1" x14ac:dyDescent="0.25">
      <c r="A27" s="28"/>
      <c r="B27" s="488"/>
      <c r="C27" s="468"/>
      <c r="D27" s="468"/>
      <c r="E27" s="468"/>
      <c r="F27" s="42" t="s">
        <v>78</v>
      </c>
      <c r="G27" s="43">
        <f t="shared" ref="G27" si="2">IF(E24&lt;0.125,"NA",IF(0.125&lt;=E24,(0.8*E24)))</f>
        <v>0.74800000000000011</v>
      </c>
      <c r="H27" s="44"/>
      <c r="I27" s="45"/>
      <c r="J27" s="46">
        <v>0.123</v>
      </c>
      <c r="K27" s="468"/>
      <c r="L27" s="468"/>
      <c r="M27" s="468"/>
      <c r="N27" s="468"/>
      <c r="O27" s="468"/>
      <c r="P27" s="473"/>
      <c r="Q27" s="188"/>
      <c r="R27" s="188"/>
      <c r="S27" s="188"/>
      <c r="T27" s="28"/>
      <c r="U27" s="28"/>
      <c r="V27" s="28"/>
      <c r="W27" s="28"/>
      <c r="X27" s="28"/>
    </row>
    <row r="28" spans="1:24" s="36" customFormat="1" ht="13.5" customHeight="1" thickBot="1" x14ac:dyDescent="0.3">
      <c r="A28" s="28"/>
      <c r="B28" s="489"/>
      <c r="C28" s="469"/>
      <c r="D28" s="469"/>
      <c r="E28" s="469"/>
      <c r="F28" s="47" t="s">
        <v>79</v>
      </c>
      <c r="G28" s="48">
        <f t="shared" ref="G28" si="3">+E24</f>
        <v>0.93500000000000005</v>
      </c>
      <c r="H28" s="49"/>
      <c r="I28" s="50"/>
      <c r="J28" s="51">
        <v>0.13300000000000001</v>
      </c>
      <c r="K28" s="469"/>
      <c r="L28" s="469"/>
      <c r="M28" s="469"/>
      <c r="N28" s="469"/>
      <c r="O28" s="469"/>
      <c r="P28" s="474"/>
      <c r="Q28" s="188"/>
      <c r="R28" s="191"/>
      <c r="S28" s="188"/>
      <c r="T28" s="28"/>
      <c r="U28" s="28"/>
      <c r="V28" s="28"/>
      <c r="W28" s="28"/>
      <c r="X28" s="28"/>
    </row>
    <row r="29" spans="1:24" s="36" customFormat="1" ht="13.5" customHeight="1" x14ac:dyDescent="0.25">
      <c r="A29" s="28"/>
      <c r="B29" s="487">
        <v>3</v>
      </c>
      <c r="C29" s="490">
        <f>+C24+$N$12</f>
        <v>7.0600000000000005</v>
      </c>
      <c r="D29" s="467">
        <v>1.946</v>
      </c>
      <c r="E29" s="467">
        <v>1.9590000000000001</v>
      </c>
      <c r="F29" s="37" t="s">
        <v>75</v>
      </c>
      <c r="G29" s="38">
        <v>0</v>
      </c>
      <c r="H29" s="39"/>
      <c r="I29" s="40"/>
      <c r="J29" s="41">
        <v>0</v>
      </c>
      <c r="K29" s="467">
        <f t="shared" ref="K29" si="4">(2*J32+J33+J29)/4</f>
        <v>0.21450000000000002</v>
      </c>
      <c r="L29" s="467">
        <f>ROUND(+(D24+D29)/2*(C29-C24),3)</f>
        <v>3.6339999999999999</v>
      </c>
      <c r="M29" s="467">
        <f>ROUND(+K29*L29,4)</f>
        <v>0.77949999999999997</v>
      </c>
      <c r="N29" s="470">
        <f t="shared" ref="N29" si="5">ROUND(+M29/$M$128*100,2)</f>
        <v>1.57</v>
      </c>
      <c r="O29" s="471"/>
      <c r="P29" s="472"/>
      <c r="Q29" s="188"/>
      <c r="R29" s="191"/>
      <c r="T29" s="28"/>
      <c r="U29" s="28"/>
      <c r="V29" s="28"/>
      <c r="W29" s="28"/>
      <c r="X29" s="28"/>
    </row>
    <row r="30" spans="1:24" s="36" customFormat="1" ht="13.5" customHeight="1" x14ac:dyDescent="0.25">
      <c r="A30" s="28"/>
      <c r="B30" s="488"/>
      <c r="C30" s="468"/>
      <c r="D30" s="468"/>
      <c r="E30" s="468"/>
      <c r="F30" s="42" t="s">
        <v>76</v>
      </c>
      <c r="G30" s="43">
        <f t="shared" ref="G30" si="6">IF(E29&lt;0.125,"NA",IF(0.125&lt;=E29,(0.2*E29)))</f>
        <v>0.39180000000000004</v>
      </c>
      <c r="H30" s="44"/>
      <c r="I30" s="45"/>
      <c r="J30" s="46"/>
      <c r="K30" s="468"/>
      <c r="L30" s="468"/>
      <c r="M30" s="468"/>
      <c r="N30" s="468"/>
      <c r="O30" s="468"/>
      <c r="P30" s="473"/>
      <c r="Q30" s="188"/>
      <c r="R30" s="188"/>
      <c r="S30" s="188"/>
      <c r="T30" s="28"/>
      <c r="U30" s="28"/>
      <c r="V30" s="28"/>
      <c r="W30" s="28"/>
      <c r="X30" s="28"/>
    </row>
    <row r="31" spans="1:24" s="36" customFormat="1" ht="13.5" customHeight="1" x14ac:dyDescent="0.25">
      <c r="A31" s="28"/>
      <c r="B31" s="488"/>
      <c r="C31" s="468"/>
      <c r="D31" s="468"/>
      <c r="E31" s="468"/>
      <c r="F31" s="42" t="s">
        <v>77</v>
      </c>
      <c r="G31" s="43">
        <f t="shared" ref="G31" si="7">+E29*0.4</f>
        <v>0.78360000000000007</v>
      </c>
      <c r="H31" s="44"/>
      <c r="I31" s="45"/>
      <c r="J31" s="46"/>
      <c r="K31" s="468"/>
      <c r="L31" s="468"/>
      <c r="M31" s="468"/>
      <c r="N31" s="468"/>
      <c r="O31" s="468"/>
      <c r="P31" s="473"/>
      <c r="Q31" s="188"/>
      <c r="R31" s="191"/>
      <c r="S31" s="188"/>
      <c r="T31" s="28"/>
      <c r="U31" s="28"/>
      <c r="V31" s="28"/>
      <c r="W31" s="28"/>
      <c r="X31" s="28"/>
    </row>
    <row r="32" spans="1:24" s="36" customFormat="1" ht="13.5" customHeight="1" x14ac:dyDescent="0.25">
      <c r="A32" s="28"/>
      <c r="B32" s="488"/>
      <c r="C32" s="468"/>
      <c r="D32" s="468"/>
      <c r="E32" s="468"/>
      <c r="F32" s="42" t="s">
        <v>78</v>
      </c>
      <c r="G32" s="43">
        <f t="shared" ref="G32" si="8">IF(E29&lt;0.125,"NA",IF(0.125&lt;=E29,(0.8*E29)))</f>
        <v>1.5672000000000001</v>
      </c>
      <c r="H32" s="44"/>
      <c r="I32" s="45"/>
      <c r="J32" s="46">
        <v>0.27700000000000002</v>
      </c>
      <c r="K32" s="468"/>
      <c r="L32" s="468"/>
      <c r="M32" s="468"/>
      <c r="N32" s="468"/>
      <c r="O32" s="468"/>
      <c r="P32" s="473"/>
      <c r="Q32" s="188"/>
      <c r="R32" s="188"/>
      <c r="S32" s="188"/>
      <c r="T32" s="28"/>
      <c r="U32" s="28"/>
      <c r="V32" s="28"/>
      <c r="W32" s="28"/>
      <c r="X32" s="28"/>
    </row>
    <row r="33" spans="1:24" s="36" customFormat="1" ht="13.5" customHeight="1" thickBot="1" x14ac:dyDescent="0.3">
      <c r="A33" s="28"/>
      <c r="B33" s="489"/>
      <c r="C33" s="469"/>
      <c r="D33" s="469"/>
      <c r="E33" s="469"/>
      <c r="F33" s="47" t="s">
        <v>79</v>
      </c>
      <c r="G33" s="48">
        <f t="shared" ref="G33" si="9">+E29</f>
        <v>1.9590000000000001</v>
      </c>
      <c r="H33" s="49"/>
      <c r="I33" s="50"/>
      <c r="J33" s="51">
        <v>0.30399999999999999</v>
      </c>
      <c r="K33" s="469"/>
      <c r="L33" s="469"/>
      <c r="M33" s="469"/>
      <c r="N33" s="469"/>
      <c r="O33" s="469"/>
      <c r="P33" s="474"/>
      <c r="Q33" s="188"/>
      <c r="R33" s="191"/>
      <c r="S33" s="188"/>
      <c r="T33" s="28"/>
      <c r="U33" s="28"/>
      <c r="V33" s="28"/>
      <c r="W33" s="28"/>
      <c r="X33" s="28"/>
    </row>
    <row r="34" spans="1:24" s="36" customFormat="1" ht="13.5" customHeight="1" x14ac:dyDescent="0.25">
      <c r="A34" s="28"/>
      <c r="B34" s="487">
        <v>4</v>
      </c>
      <c r="C34" s="490">
        <f>+C29+$N$12</f>
        <v>9.06</v>
      </c>
      <c r="D34" s="467">
        <v>1.8320000000000001</v>
      </c>
      <c r="E34" s="467">
        <v>1.9059999999999999</v>
      </c>
      <c r="F34" s="37" t="s">
        <v>75</v>
      </c>
      <c r="G34" s="38">
        <v>0</v>
      </c>
      <c r="H34" s="39"/>
      <c r="I34" s="40"/>
      <c r="J34" s="41">
        <v>0</v>
      </c>
      <c r="K34" s="467">
        <f t="shared" ref="K34" si="10">(2*J37+J38+J34)/4</f>
        <v>0.39075000000000004</v>
      </c>
      <c r="L34" s="467">
        <f>ROUND(+(D29+D34)/2*(C34-C29),3)</f>
        <v>3.778</v>
      </c>
      <c r="M34" s="467">
        <f>ROUND(+K34*L34,4)</f>
        <v>1.4762999999999999</v>
      </c>
      <c r="N34" s="470">
        <f t="shared" ref="N34" si="11">ROUND(+M34/$M$128*100,2)</f>
        <v>2.97</v>
      </c>
      <c r="O34" s="471"/>
      <c r="P34" s="472"/>
      <c r="Q34" s="188"/>
      <c r="R34" s="191"/>
      <c r="T34" s="28"/>
      <c r="U34" s="28"/>
      <c r="V34" s="28"/>
      <c r="W34" s="28"/>
      <c r="X34" s="28"/>
    </row>
    <row r="35" spans="1:24" s="36" customFormat="1" ht="13.5" customHeight="1" x14ac:dyDescent="0.25">
      <c r="A35" s="28"/>
      <c r="B35" s="488"/>
      <c r="C35" s="468"/>
      <c r="D35" s="468"/>
      <c r="E35" s="468"/>
      <c r="F35" s="42" t="s">
        <v>76</v>
      </c>
      <c r="G35" s="43">
        <f t="shared" ref="G35" si="12">IF(E34&lt;0.125,"NA",IF(0.125&lt;=E34,(0.2*E34)))</f>
        <v>0.38119999999999998</v>
      </c>
      <c r="H35" s="44"/>
      <c r="I35" s="45"/>
      <c r="J35" s="46"/>
      <c r="K35" s="468"/>
      <c r="L35" s="468"/>
      <c r="M35" s="468"/>
      <c r="N35" s="468"/>
      <c r="O35" s="468"/>
      <c r="P35" s="473"/>
      <c r="Q35" s="188"/>
      <c r="R35" s="188"/>
      <c r="S35" s="188"/>
      <c r="T35" s="28"/>
      <c r="U35" s="28"/>
      <c r="V35" s="28"/>
      <c r="W35" s="28"/>
      <c r="X35" s="28"/>
    </row>
    <row r="36" spans="1:24" s="36" customFormat="1" ht="13.5" customHeight="1" x14ac:dyDescent="0.25">
      <c r="A36" s="28"/>
      <c r="B36" s="488"/>
      <c r="C36" s="468"/>
      <c r="D36" s="468"/>
      <c r="E36" s="468"/>
      <c r="F36" s="42" t="s">
        <v>77</v>
      </c>
      <c r="G36" s="43">
        <f t="shared" ref="G36" si="13">+E34*0.4</f>
        <v>0.76239999999999997</v>
      </c>
      <c r="H36" s="44"/>
      <c r="I36" s="45"/>
      <c r="J36" s="46"/>
      <c r="K36" s="468"/>
      <c r="L36" s="468"/>
      <c r="M36" s="468"/>
      <c r="N36" s="468"/>
      <c r="O36" s="468"/>
      <c r="P36" s="473"/>
      <c r="Q36" s="188"/>
      <c r="R36" s="191"/>
      <c r="S36" s="188"/>
      <c r="T36" s="28"/>
      <c r="U36" s="28"/>
      <c r="V36" s="28"/>
      <c r="W36" s="28"/>
      <c r="X36" s="28"/>
    </row>
    <row r="37" spans="1:24" s="36" customFormat="1" ht="13.5" customHeight="1" x14ac:dyDescent="0.25">
      <c r="A37" s="28"/>
      <c r="B37" s="488"/>
      <c r="C37" s="468"/>
      <c r="D37" s="468"/>
      <c r="E37" s="468"/>
      <c r="F37" s="42" t="s">
        <v>78</v>
      </c>
      <c r="G37" s="43">
        <f t="shared" ref="G37" si="14">IF(E34&lt;0.125,"NA",IF(0.125&lt;=E34,(0.8*E34)))</f>
        <v>1.5247999999999999</v>
      </c>
      <c r="H37" s="44"/>
      <c r="I37" s="45"/>
      <c r="J37" s="46">
        <v>0.504</v>
      </c>
      <c r="K37" s="468"/>
      <c r="L37" s="468"/>
      <c r="M37" s="468"/>
      <c r="N37" s="468"/>
      <c r="O37" s="468"/>
      <c r="P37" s="473"/>
      <c r="Q37" s="188"/>
      <c r="R37" s="188"/>
      <c r="S37" s="188"/>
      <c r="T37" s="28"/>
      <c r="U37" s="28"/>
      <c r="V37" s="28"/>
      <c r="W37" s="28"/>
      <c r="X37" s="28"/>
    </row>
    <row r="38" spans="1:24" s="36" customFormat="1" ht="13.5" customHeight="1" thickBot="1" x14ac:dyDescent="0.3">
      <c r="A38" s="28"/>
      <c r="B38" s="489"/>
      <c r="C38" s="469"/>
      <c r="D38" s="469"/>
      <c r="E38" s="469"/>
      <c r="F38" s="47" t="s">
        <v>79</v>
      </c>
      <c r="G38" s="48">
        <f t="shared" ref="G38" si="15">+E34</f>
        <v>1.9059999999999999</v>
      </c>
      <c r="H38" s="49"/>
      <c r="I38" s="50"/>
      <c r="J38" s="51">
        <v>0.55500000000000005</v>
      </c>
      <c r="K38" s="469"/>
      <c r="L38" s="469"/>
      <c r="M38" s="469"/>
      <c r="N38" s="469"/>
      <c r="O38" s="469"/>
      <c r="P38" s="474"/>
      <c r="Q38" s="188"/>
      <c r="R38" s="191"/>
      <c r="S38" s="188"/>
      <c r="T38" s="28"/>
      <c r="U38" s="28"/>
      <c r="V38" s="28"/>
      <c r="W38" s="28"/>
      <c r="X38" s="28"/>
    </row>
    <row r="39" spans="1:24" s="36" customFormat="1" ht="13.5" customHeight="1" x14ac:dyDescent="0.25">
      <c r="A39" s="28"/>
      <c r="B39" s="604">
        <v>5</v>
      </c>
      <c r="C39" s="490">
        <f>+C34+$N$12</f>
        <v>11.06</v>
      </c>
      <c r="D39" s="467">
        <v>1.7110000000000001</v>
      </c>
      <c r="E39" s="467">
        <v>1.75</v>
      </c>
      <c r="F39" s="37" t="s">
        <v>75</v>
      </c>
      <c r="G39" s="38">
        <v>0</v>
      </c>
      <c r="H39" s="39"/>
      <c r="I39" s="40"/>
      <c r="J39" s="41">
        <v>0</v>
      </c>
      <c r="K39" s="467">
        <f t="shared" ref="K39" si="16">(2*J42+J43+J39)/4</f>
        <v>0.59199999999999997</v>
      </c>
      <c r="L39" s="467">
        <f>ROUND(+(D34+D39)/2*(C39-C34),3)</f>
        <v>3.5430000000000001</v>
      </c>
      <c r="M39" s="467">
        <f>ROUND(+K39*L39,4)</f>
        <v>2.0975000000000001</v>
      </c>
      <c r="N39" s="470">
        <f t="shared" ref="N39" si="17">ROUND(+M39/$M$128*100,2)</f>
        <v>4.22</v>
      </c>
      <c r="O39" s="471"/>
      <c r="P39" s="472"/>
      <c r="Q39" s="188"/>
      <c r="R39" s="191"/>
      <c r="T39" s="28"/>
      <c r="U39" s="28"/>
      <c r="V39" s="28"/>
      <c r="W39" s="28"/>
      <c r="X39" s="28"/>
    </row>
    <row r="40" spans="1:24" s="36" customFormat="1" ht="13.5" customHeight="1" x14ac:dyDescent="0.25">
      <c r="A40" s="28"/>
      <c r="B40" s="605"/>
      <c r="C40" s="468"/>
      <c r="D40" s="468"/>
      <c r="E40" s="468"/>
      <c r="F40" s="42" t="s">
        <v>76</v>
      </c>
      <c r="G40" s="43">
        <f t="shared" ref="G40" si="18">IF(E39&lt;0.125,"NA",IF(0.125&lt;=E39,(0.2*E39)))</f>
        <v>0.35000000000000003</v>
      </c>
      <c r="H40" s="44"/>
      <c r="I40" s="45"/>
      <c r="J40" s="46"/>
      <c r="K40" s="468"/>
      <c r="L40" s="468"/>
      <c r="M40" s="468"/>
      <c r="N40" s="468"/>
      <c r="O40" s="468"/>
      <c r="P40" s="473"/>
      <c r="Q40" s="188"/>
      <c r="R40" s="188"/>
      <c r="S40" s="188"/>
      <c r="T40" s="28"/>
      <c r="U40" s="28"/>
      <c r="V40" s="28"/>
      <c r="W40" s="28"/>
      <c r="X40" s="28"/>
    </row>
    <row r="41" spans="1:24" s="36" customFormat="1" ht="13.5" customHeight="1" x14ac:dyDescent="0.25">
      <c r="A41" s="28"/>
      <c r="B41" s="605"/>
      <c r="C41" s="468"/>
      <c r="D41" s="468"/>
      <c r="E41" s="468"/>
      <c r="F41" s="42" t="s">
        <v>77</v>
      </c>
      <c r="G41" s="43">
        <f t="shared" ref="G41" si="19">+E39*0.4</f>
        <v>0.70000000000000007</v>
      </c>
      <c r="H41" s="44"/>
      <c r="I41" s="45"/>
      <c r="J41" s="46"/>
      <c r="K41" s="468"/>
      <c r="L41" s="468"/>
      <c r="M41" s="468"/>
      <c r="N41" s="468"/>
      <c r="O41" s="468"/>
      <c r="P41" s="473"/>
      <c r="Q41" s="188"/>
      <c r="R41" s="191"/>
      <c r="S41" s="188"/>
      <c r="T41" s="28"/>
      <c r="U41" s="28"/>
      <c r="V41" s="28"/>
      <c r="W41" s="28"/>
      <c r="X41" s="28"/>
    </row>
    <row r="42" spans="1:24" s="36" customFormat="1" ht="13.5" customHeight="1" x14ac:dyDescent="0.25">
      <c r="A42" s="28"/>
      <c r="B42" s="605"/>
      <c r="C42" s="468"/>
      <c r="D42" s="468"/>
      <c r="E42" s="468"/>
      <c r="F42" s="42" t="s">
        <v>78</v>
      </c>
      <c r="G42" s="43">
        <f t="shared" ref="G42" si="20">IF(E39&lt;0.125,"NA",IF(0.125&lt;=E39,(0.8*E39)))</f>
        <v>1.4000000000000001</v>
      </c>
      <c r="H42" s="44"/>
      <c r="I42" s="45"/>
      <c r="J42" s="46">
        <v>0.75</v>
      </c>
      <c r="K42" s="468"/>
      <c r="L42" s="468"/>
      <c r="M42" s="468"/>
      <c r="N42" s="468"/>
      <c r="O42" s="468"/>
      <c r="P42" s="473"/>
      <c r="Q42" s="188"/>
      <c r="R42" s="188"/>
      <c r="S42" s="188"/>
      <c r="T42" s="28"/>
      <c r="U42" s="28"/>
      <c r="V42" s="28"/>
      <c r="W42" s="28"/>
      <c r="X42" s="28"/>
    </row>
    <row r="43" spans="1:24" s="36" customFormat="1" ht="13.5" customHeight="1" thickBot="1" x14ac:dyDescent="0.3">
      <c r="A43" s="28"/>
      <c r="B43" s="606"/>
      <c r="C43" s="469"/>
      <c r="D43" s="469"/>
      <c r="E43" s="469"/>
      <c r="F43" s="47" t="s">
        <v>79</v>
      </c>
      <c r="G43" s="48">
        <f t="shared" ref="G43" si="21">+E39</f>
        <v>1.75</v>
      </c>
      <c r="H43" s="49"/>
      <c r="I43" s="50"/>
      <c r="J43" s="51">
        <v>0.86799999999999999</v>
      </c>
      <c r="K43" s="469"/>
      <c r="L43" s="469"/>
      <c r="M43" s="469"/>
      <c r="N43" s="469"/>
      <c r="O43" s="469"/>
      <c r="P43" s="474"/>
      <c r="Q43" s="188"/>
      <c r="R43" s="191"/>
      <c r="S43" s="188"/>
      <c r="T43" s="28"/>
      <c r="U43" s="28"/>
      <c r="V43" s="28"/>
      <c r="W43" s="28"/>
      <c r="X43" s="28"/>
    </row>
    <row r="44" spans="1:24" s="36" customFormat="1" ht="13.5" customHeight="1" x14ac:dyDescent="0.25">
      <c r="A44" s="28"/>
      <c r="B44" s="487">
        <v>6</v>
      </c>
      <c r="C44" s="490">
        <f>+C39+$N$12</f>
        <v>13.06</v>
      </c>
      <c r="D44" s="467">
        <v>1.5920000000000001</v>
      </c>
      <c r="E44" s="467">
        <v>1.645</v>
      </c>
      <c r="F44" s="37" t="s">
        <v>75</v>
      </c>
      <c r="G44" s="38">
        <v>0</v>
      </c>
      <c r="H44" s="39"/>
      <c r="I44" s="40"/>
      <c r="J44" s="41">
        <v>0</v>
      </c>
      <c r="K44" s="467">
        <f t="shared" ref="K44" si="22">(2*J47+J48+J44)/4</f>
        <v>0.82974999999999999</v>
      </c>
      <c r="L44" s="467">
        <f>ROUND(+(D39+D44)/2*(C44-C39),3)</f>
        <v>3.3029999999999999</v>
      </c>
      <c r="M44" s="467">
        <f>ROUND(+K44*L44,4)</f>
        <v>2.7406999999999999</v>
      </c>
      <c r="N44" s="470">
        <f t="shared" ref="N44" si="23">ROUND(+M44/$M$128*100,2)</f>
        <v>5.51</v>
      </c>
      <c r="O44" s="471"/>
      <c r="P44" s="472"/>
      <c r="Q44" s="188"/>
      <c r="R44" s="191"/>
      <c r="T44" s="28"/>
      <c r="U44" s="28"/>
      <c r="V44" s="28"/>
      <c r="W44" s="28"/>
      <c r="X44" s="28"/>
    </row>
    <row r="45" spans="1:24" s="36" customFormat="1" ht="13.5" customHeight="1" x14ac:dyDescent="0.25">
      <c r="A45" s="28"/>
      <c r="B45" s="488"/>
      <c r="C45" s="468"/>
      <c r="D45" s="468"/>
      <c r="E45" s="468"/>
      <c r="F45" s="42" t="s">
        <v>76</v>
      </c>
      <c r="G45" s="43">
        <f t="shared" ref="G45" si="24">IF(E44&lt;0.125,"NA",IF(0.125&lt;=E44,(0.2*E44)))</f>
        <v>0.32900000000000001</v>
      </c>
      <c r="H45" s="44"/>
      <c r="I45" s="45"/>
      <c r="J45" s="46"/>
      <c r="K45" s="468"/>
      <c r="L45" s="468"/>
      <c r="M45" s="468"/>
      <c r="N45" s="468"/>
      <c r="O45" s="468"/>
      <c r="P45" s="473"/>
      <c r="Q45" s="188"/>
      <c r="R45" s="188"/>
      <c r="S45" s="188"/>
      <c r="T45" s="28"/>
      <c r="U45" s="28"/>
      <c r="V45" s="28"/>
      <c r="W45" s="28"/>
      <c r="X45" s="28"/>
    </row>
    <row r="46" spans="1:24" s="36" customFormat="1" ht="13.5" customHeight="1" x14ac:dyDescent="0.25">
      <c r="A46" s="28"/>
      <c r="B46" s="488"/>
      <c r="C46" s="468"/>
      <c r="D46" s="468"/>
      <c r="E46" s="468"/>
      <c r="F46" s="42" t="s">
        <v>77</v>
      </c>
      <c r="G46" s="43">
        <f t="shared" ref="G46" si="25">+E44*0.4</f>
        <v>0.65800000000000003</v>
      </c>
      <c r="H46" s="44"/>
      <c r="I46" s="45"/>
      <c r="J46" s="46"/>
      <c r="K46" s="468"/>
      <c r="L46" s="468"/>
      <c r="M46" s="468"/>
      <c r="N46" s="468"/>
      <c r="O46" s="468"/>
      <c r="P46" s="473"/>
      <c r="Q46" s="188"/>
      <c r="R46" s="191"/>
      <c r="S46" s="188"/>
      <c r="T46" s="28"/>
      <c r="U46" s="28"/>
      <c r="V46" s="28"/>
      <c r="W46" s="28"/>
      <c r="X46" s="28"/>
    </row>
    <row r="47" spans="1:24" s="36" customFormat="1" ht="13.5" customHeight="1" x14ac:dyDescent="0.25">
      <c r="A47" s="28"/>
      <c r="B47" s="488"/>
      <c r="C47" s="468"/>
      <c r="D47" s="468"/>
      <c r="E47" s="468"/>
      <c r="F47" s="42" t="s">
        <v>78</v>
      </c>
      <c r="G47" s="43">
        <f t="shared" ref="G47" si="26">IF(E44&lt;0.125,"NA",IF(0.125&lt;=E44,(0.8*E44)))</f>
        <v>1.3160000000000001</v>
      </c>
      <c r="H47" s="44"/>
      <c r="I47" s="45"/>
      <c r="J47" s="46">
        <v>1.0980000000000001</v>
      </c>
      <c r="K47" s="468"/>
      <c r="L47" s="468"/>
      <c r="M47" s="468"/>
      <c r="N47" s="468"/>
      <c r="O47" s="468"/>
      <c r="P47" s="473"/>
      <c r="Q47" s="188"/>
      <c r="R47" s="188"/>
      <c r="S47" s="188"/>
      <c r="T47" s="28"/>
      <c r="U47" s="28"/>
      <c r="V47" s="28"/>
      <c r="W47" s="28"/>
      <c r="X47" s="28"/>
    </row>
    <row r="48" spans="1:24" s="36" customFormat="1" ht="13.5" customHeight="1" thickBot="1" x14ac:dyDescent="0.3">
      <c r="A48" s="28"/>
      <c r="B48" s="489"/>
      <c r="C48" s="469"/>
      <c r="D48" s="469"/>
      <c r="E48" s="469"/>
      <c r="F48" s="47" t="s">
        <v>79</v>
      </c>
      <c r="G48" s="48">
        <f t="shared" ref="G48" si="27">+E44</f>
        <v>1.645</v>
      </c>
      <c r="H48" s="49"/>
      <c r="I48" s="50"/>
      <c r="J48" s="51">
        <v>1.123</v>
      </c>
      <c r="K48" s="469"/>
      <c r="L48" s="469"/>
      <c r="M48" s="469"/>
      <c r="N48" s="469"/>
      <c r="O48" s="469"/>
      <c r="P48" s="474"/>
      <c r="Q48" s="188"/>
      <c r="R48" s="191"/>
      <c r="S48" s="188"/>
      <c r="T48" s="28"/>
      <c r="U48" s="28"/>
      <c r="V48" s="28"/>
      <c r="W48" s="28"/>
      <c r="X48" s="28"/>
    </row>
    <row r="49" spans="1:24" s="36" customFormat="1" ht="13.5" customHeight="1" x14ac:dyDescent="0.25">
      <c r="A49" s="28"/>
      <c r="B49" s="604">
        <v>7</v>
      </c>
      <c r="C49" s="490">
        <f>+C44+$N$12</f>
        <v>15.06</v>
      </c>
      <c r="D49" s="467">
        <v>1.621</v>
      </c>
      <c r="E49" s="467">
        <v>1.5840000000000001</v>
      </c>
      <c r="F49" s="37" t="s">
        <v>75</v>
      </c>
      <c r="G49" s="38">
        <v>0</v>
      </c>
      <c r="H49" s="39"/>
      <c r="I49" s="40"/>
      <c r="J49" s="41">
        <v>0</v>
      </c>
      <c r="K49" s="467">
        <f t="shared" ref="K49" si="28">(2*J52+J53+J49)/4</f>
        <v>0.94425000000000003</v>
      </c>
      <c r="L49" s="467">
        <f>ROUND(+(D44+D49)/2*(C49-C44),3)</f>
        <v>3.2130000000000001</v>
      </c>
      <c r="M49" s="467">
        <f>ROUND(+K49*L49,4)</f>
        <v>3.0339</v>
      </c>
      <c r="N49" s="470">
        <f t="shared" ref="N49" si="29">ROUND(+M49/$M$128*100,2)</f>
        <v>6.1</v>
      </c>
      <c r="O49" s="471"/>
      <c r="P49" s="472"/>
      <c r="Q49" s="188"/>
      <c r="R49" s="191"/>
      <c r="T49" s="28"/>
      <c r="U49" s="28"/>
      <c r="V49" s="28"/>
      <c r="W49" s="28"/>
      <c r="X49" s="28"/>
    </row>
    <row r="50" spans="1:24" s="36" customFormat="1" ht="13.5" customHeight="1" x14ac:dyDescent="0.25">
      <c r="A50" s="28"/>
      <c r="B50" s="605"/>
      <c r="C50" s="468"/>
      <c r="D50" s="468"/>
      <c r="E50" s="468"/>
      <c r="F50" s="42" t="s">
        <v>76</v>
      </c>
      <c r="G50" s="43">
        <f t="shared" ref="G50" si="30">IF(E49&lt;0.125,"NA",IF(0.125&lt;=E49,(0.2*E49)))</f>
        <v>0.31680000000000003</v>
      </c>
      <c r="H50" s="44"/>
      <c r="I50" s="45"/>
      <c r="J50" s="46"/>
      <c r="K50" s="468"/>
      <c r="L50" s="468"/>
      <c r="M50" s="468"/>
      <c r="N50" s="468"/>
      <c r="O50" s="468"/>
      <c r="P50" s="473"/>
      <c r="Q50" s="188"/>
      <c r="R50" s="188"/>
      <c r="S50" s="188"/>
      <c r="T50" s="28"/>
      <c r="U50" s="28"/>
      <c r="V50" s="28"/>
      <c r="W50" s="28"/>
      <c r="X50" s="28"/>
    </row>
    <row r="51" spans="1:24" s="36" customFormat="1" ht="13.5" customHeight="1" x14ac:dyDescent="0.25">
      <c r="A51" s="28"/>
      <c r="B51" s="605"/>
      <c r="C51" s="468"/>
      <c r="D51" s="468"/>
      <c r="E51" s="468"/>
      <c r="F51" s="42" t="s">
        <v>77</v>
      </c>
      <c r="G51" s="43">
        <f t="shared" ref="G51" si="31">+E49*0.4</f>
        <v>0.63360000000000005</v>
      </c>
      <c r="H51" s="44"/>
      <c r="I51" s="45"/>
      <c r="J51" s="46"/>
      <c r="K51" s="468"/>
      <c r="L51" s="468"/>
      <c r="M51" s="468"/>
      <c r="N51" s="468"/>
      <c r="O51" s="468"/>
      <c r="P51" s="473"/>
      <c r="Q51" s="188"/>
      <c r="R51" s="191"/>
      <c r="S51" s="188"/>
      <c r="T51" s="28"/>
      <c r="U51" s="28"/>
      <c r="V51" s="28"/>
      <c r="W51" s="28"/>
      <c r="X51" s="28"/>
    </row>
    <row r="52" spans="1:24" s="36" customFormat="1" ht="13.5" customHeight="1" x14ac:dyDescent="0.25">
      <c r="A52" s="28"/>
      <c r="B52" s="605"/>
      <c r="C52" s="468"/>
      <c r="D52" s="468"/>
      <c r="E52" s="468"/>
      <c r="F52" s="42" t="s">
        <v>78</v>
      </c>
      <c r="G52" s="43">
        <f t="shared" ref="G52" si="32">IF(E49&lt;0.125,"NA",IF(0.125&lt;=E49,(0.8*E49)))</f>
        <v>1.2672000000000001</v>
      </c>
      <c r="H52" s="44"/>
      <c r="I52" s="45"/>
      <c r="J52" s="46">
        <v>1.2490000000000001</v>
      </c>
      <c r="K52" s="468"/>
      <c r="L52" s="468"/>
      <c r="M52" s="468"/>
      <c r="N52" s="468"/>
      <c r="O52" s="468"/>
      <c r="P52" s="473"/>
      <c r="Q52" s="188"/>
      <c r="R52" s="188"/>
      <c r="S52" s="188"/>
      <c r="T52" s="28"/>
      <c r="U52" s="28"/>
      <c r="V52" s="28"/>
      <c r="W52" s="28"/>
      <c r="X52" s="28"/>
    </row>
    <row r="53" spans="1:24" s="36" customFormat="1" ht="13.5" customHeight="1" thickBot="1" x14ac:dyDescent="0.3">
      <c r="A53" s="28"/>
      <c r="B53" s="606"/>
      <c r="C53" s="469"/>
      <c r="D53" s="469"/>
      <c r="E53" s="469"/>
      <c r="F53" s="47" t="s">
        <v>79</v>
      </c>
      <c r="G53" s="48">
        <f t="shared" ref="G53" si="33">+E49</f>
        <v>1.5840000000000001</v>
      </c>
      <c r="H53" s="49"/>
      <c r="I53" s="50"/>
      <c r="J53" s="51">
        <v>1.2789999999999999</v>
      </c>
      <c r="K53" s="469"/>
      <c r="L53" s="469"/>
      <c r="M53" s="469"/>
      <c r="N53" s="469"/>
      <c r="O53" s="469"/>
      <c r="P53" s="474"/>
      <c r="Q53" s="188"/>
      <c r="R53" s="191"/>
      <c r="S53" s="188"/>
      <c r="T53" s="28"/>
      <c r="U53" s="28"/>
      <c r="V53" s="28"/>
      <c r="W53" s="28"/>
      <c r="X53" s="28"/>
    </row>
    <row r="54" spans="1:24" s="36" customFormat="1" ht="13.5" customHeight="1" x14ac:dyDescent="0.25">
      <c r="A54" s="28"/>
      <c r="B54" s="487">
        <v>8</v>
      </c>
      <c r="C54" s="490">
        <f>+C49+$N$12</f>
        <v>17.060000000000002</v>
      </c>
      <c r="D54" s="467">
        <v>1.613</v>
      </c>
      <c r="E54" s="467">
        <v>1.6419999999999999</v>
      </c>
      <c r="F54" s="37" t="s">
        <v>75</v>
      </c>
      <c r="G54" s="38">
        <v>0</v>
      </c>
      <c r="H54" s="39"/>
      <c r="I54" s="40"/>
      <c r="J54" s="41">
        <v>0</v>
      </c>
      <c r="K54" s="467">
        <f t="shared" ref="K54" si="34">(2*J57+J58+J54)/4</f>
        <v>1.0607500000000001</v>
      </c>
      <c r="L54" s="467">
        <f>ROUND(+(D49+D54)/2*(C54-C49),3)</f>
        <v>3.234</v>
      </c>
      <c r="M54" s="467">
        <f>ROUND(+K54*L54,4)</f>
        <v>3.4304999999999999</v>
      </c>
      <c r="N54" s="470">
        <f t="shared" ref="N54" si="35">ROUND(+M54/$M$128*100,2)</f>
        <v>6.9</v>
      </c>
      <c r="O54" s="471"/>
      <c r="P54" s="472"/>
      <c r="Q54" s="188"/>
      <c r="R54" s="191"/>
      <c r="T54" s="28"/>
      <c r="U54" s="28"/>
      <c r="V54" s="28"/>
      <c r="W54" s="28"/>
      <c r="X54" s="28"/>
    </row>
    <row r="55" spans="1:24" s="36" customFormat="1" ht="13.5" customHeight="1" x14ac:dyDescent="0.25">
      <c r="A55" s="28"/>
      <c r="B55" s="488"/>
      <c r="C55" s="468"/>
      <c r="D55" s="468"/>
      <c r="E55" s="468"/>
      <c r="F55" s="42" t="s">
        <v>76</v>
      </c>
      <c r="G55" s="43">
        <f t="shared" ref="G55" si="36">IF(E54&lt;0.125,"NA",IF(0.125&lt;=E54,(0.2*E54)))</f>
        <v>0.32840000000000003</v>
      </c>
      <c r="H55" s="44"/>
      <c r="I55" s="45"/>
      <c r="J55" s="46"/>
      <c r="K55" s="468"/>
      <c r="L55" s="468"/>
      <c r="M55" s="468"/>
      <c r="N55" s="468"/>
      <c r="O55" s="468"/>
      <c r="P55" s="473"/>
      <c r="Q55" s="188"/>
      <c r="R55" s="188"/>
      <c r="S55" s="188"/>
      <c r="T55" s="28"/>
      <c r="U55" s="28"/>
      <c r="V55" s="28"/>
      <c r="W55" s="28"/>
      <c r="X55" s="28"/>
    </row>
    <row r="56" spans="1:24" s="36" customFormat="1" ht="13.5" customHeight="1" x14ac:dyDescent="0.25">
      <c r="A56" s="28"/>
      <c r="B56" s="488"/>
      <c r="C56" s="468"/>
      <c r="D56" s="468"/>
      <c r="E56" s="468"/>
      <c r="F56" s="42" t="s">
        <v>77</v>
      </c>
      <c r="G56" s="43">
        <f t="shared" ref="G56" si="37">+E54*0.4</f>
        <v>0.65680000000000005</v>
      </c>
      <c r="H56" s="44"/>
      <c r="I56" s="45"/>
      <c r="J56" s="46"/>
      <c r="K56" s="468"/>
      <c r="L56" s="468"/>
      <c r="M56" s="468"/>
      <c r="N56" s="468"/>
      <c r="O56" s="468"/>
      <c r="P56" s="473"/>
      <c r="Q56" s="188"/>
      <c r="R56" s="191"/>
      <c r="S56" s="188"/>
      <c r="T56" s="28"/>
      <c r="U56" s="28"/>
      <c r="V56" s="28"/>
      <c r="W56" s="28"/>
      <c r="X56" s="28"/>
    </row>
    <row r="57" spans="1:24" s="36" customFormat="1" ht="13.5" customHeight="1" x14ac:dyDescent="0.25">
      <c r="A57" s="28"/>
      <c r="B57" s="488"/>
      <c r="C57" s="468"/>
      <c r="D57" s="468"/>
      <c r="E57" s="468"/>
      <c r="F57" s="42" t="s">
        <v>78</v>
      </c>
      <c r="G57" s="43">
        <f t="shared" ref="G57" si="38">IF(E54&lt;0.125,"NA",IF(0.125&lt;=E54,(0.8*E54)))</f>
        <v>1.3136000000000001</v>
      </c>
      <c r="H57" s="44"/>
      <c r="I57" s="45"/>
      <c r="J57" s="46">
        <v>1.413</v>
      </c>
      <c r="K57" s="468"/>
      <c r="L57" s="468"/>
      <c r="M57" s="468"/>
      <c r="N57" s="468"/>
      <c r="O57" s="468"/>
      <c r="P57" s="473"/>
      <c r="Q57" s="188"/>
      <c r="R57" s="188"/>
      <c r="S57" s="188"/>
      <c r="T57" s="28"/>
      <c r="U57" s="28"/>
      <c r="V57" s="28"/>
      <c r="W57" s="28"/>
      <c r="X57" s="28"/>
    </row>
    <row r="58" spans="1:24" s="36" customFormat="1" ht="13.5" customHeight="1" thickBot="1" x14ac:dyDescent="0.3">
      <c r="A58" s="28"/>
      <c r="B58" s="489"/>
      <c r="C58" s="469"/>
      <c r="D58" s="469"/>
      <c r="E58" s="469"/>
      <c r="F58" s="47" t="s">
        <v>79</v>
      </c>
      <c r="G58" s="48">
        <f t="shared" ref="G58" si="39">+E54</f>
        <v>1.6419999999999999</v>
      </c>
      <c r="H58" s="49"/>
      <c r="I58" s="50"/>
      <c r="J58" s="51">
        <v>1.417</v>
      </c>
      <c r="K58" s="469"/>
      <c r="L58" s="469"/>
      <c r="M58" s="469"/>
      <c r="N58" s="469"/>
      <c r="O58" s="469"/>
      <c r="P58" s="474"/>
      <c r="Q58" s="188"/>
      <c r="R58" s="191"/>
      <c r="S58" s="188"/>
      <c r="T58" s="28"/>
      <c r="U58" s="28"/>
      <c r="V58" s="28"/>
      <c r="W58" s="28"/>
      <c r="X58" s="28"/>
    </row>
    <row r="59" spans="1:24" s="36" customFormat="1" ht="13.5" customHeight="1" x14ac:dyDescent="0.25">
      <c r="A59" s="28"/>
      <c r="B59" s="604">
        <v>9</v>
      </c>
      <c r="C59" s="490">
        <f>+C54+$N$12</f>
        <v>19.060000000000002</v>
      </c>
      <c r="D59" s="467">
        <v>1.625</v>
      </c>
      <c r="E59" s="467">
        <v>1.587</v>
      </c>
      <c r="F59" s="37" t="s">
        <v>75</v>
      </c>
      <c r="G59" s="38">
        <v>0</v>
      </c>
      <c r="H59" s="39"/>
      <c r="I59" s="40"/>
      <c r="J59" s="41">
        <v>0</v>
      </c>
      <c r="K59" s="467">
        <f t="shared" ref="K59" si="40">(2*J62+J63+J59)/4</f>
        <v>1.04325</v>
      </c>
      <c r="L59" s="467">
        <f>ROUND(+(D54+D59)/2*(C59-C54),3)</f>
        <v>3.238</v>
      </c>
      <c r="M59" s="467">
        <f>ROUND(+K59*L59,4)</f>
        <v>3.3780000000000001</v>
      </c>
      <c r="N59" s="470">
        <f t="shared" ref="N59" si="41">ROUND(+M59/$M$128*100,2)</f>
        <v>6.79</v>
      </c>
      <c r="O59" s="471"/>
      <c r="P59" s="472"/>
      <c r="Q59" s="188"/>
      <c r="R59" s="191"/>
      <c r="T59" s="28"/>
      <c r="U59" s="28"/>
      <c r="V59" s="28"/>
      <c r="W59" s="28"/>
      <c r="X59" s="28"/>
    </row>
    <row r="60" spans="1:24" s="36" customFormat="1" ht="13.5" customHeight="1" x14ac:dyDescent="0.25">
      <c r="A60" s="28"/>
      <c r="B60" s="605"/>
      <c r="C60" s="468"/>
      <c r="D60" s="468"/>
      <c r="E60" s="468"/>
      <c r="F60" s="42" t="s">
        <v>76</v>
      </c>
      <c r="G60" s="43">
        <f t="shared" ref="G60" si="42">IF(E59&lt;0.125,"NA",IF(0.125&lt;=E59,(0.2*E59)))</f>
        <v>0.31740000000000002</v>
      </c>
      <c r="H60" s="44"/>
      <c r="I60" s="45"/>
      <c r="J60" s="46"/>
      <c r="K60" s="468"/>
      <c r="L60" s="468"/>
      <c r="M60" s="468"/>
      <c r="N60" s="468"/>
      <c r="O60" s="468"/>
      <c r="P60" s="473"/>
      <c r="Q60" s="188"/>
      <c r="R60" s="188"/>
      <c r="S60" s="188"/>
      <c r="T60" s="28"/>
      <c r="U60" s="28"/>
      <c r="V60" s="28"/>
      <c r="W60" s="28"/>
      <c r="X60" s="28"/>
    </row>
    <row r="61" spans="1:24" s="36" customFormat="1" ht="13.5" customHeight="1" x14ac:dyDescent="0.25">
      <c r="A61" s="28"/>
      <c r="B61" s="605"/>
      <c r="C61" s="468"/>
      <c r="D61" s="468"/>
      <c r="E61" s="468"/>
      <c r="F61" s="42" t="s">
        <v>77</v>
      </c>
      <c r="G61" s="43">
        <f t="shared" ref="G61" si="43">+E59*0.4</f>
        <v>0.63480000000000003</v>
      </c>
      <c r="H61" s="44"/>
      <c r="I61" s="45"/>
      <c r="J61" s="46"/>
      <c r="K61" s="468"/>
      <c r="L61" s="468"/>
      <c r="M61" s="468"/>
      <c r="N61" s="468"/>
      <c r="O61" s="468"/>
      <c r="P61" s="473"/>
      <c r="Q61" s="188"/>
      <c r="R61" s="191"/>
      <c r="S61" s="188"/>
      <c r="T61" s="28"/>
      <c r="U61" s="28"/>
      <c r="V61" s="28"/>
      <c r="W61" s="28"/>
      <c r="X61" s="28"/>
    </row>
    <row r="62" spans="1:24" s="36" customFormat="1" ht="13.5" customHeight="1" x14ac:dyDescent="0.25">
      <c r="A62" s="28"/>
      <c r="B62" s="605"/>
      <c r="C62" s="468"/>
      <c r="D62" s="468"/>
      <c r="E62" s="468"/>
      <c r="F62" s="42" t="s">
        <v>78</v>
      </c>
      <c r="G62" s="43">
        <f t="shared" ref="G62" si="44">IF(E59&lt;0.125,"NA",IF(0.125&lt;=E59,(0.8*E59)))</f>
        <v>1.2696000000000001</v>
      </c>
      <c r="H62" s="44"/>
      <c r="I62" s="45"/>
      <c r="J62" s="46">
        <v>1.3879999999999999</v>
      </c>
      <c r="K62" s="468"/>
      <c r="L62" s="468"/>
      <c r="M62" s="468"/>
      <c r="N62" s="468"/>
      <c r="O62" s="468"/>
      <c r="P62" s="473"/>
      <c r="Q62" s="188"/>
      <c r="R62" s="188"/>
      <c r="S62" s="188"/>
      <c r="T62" s="28"/>
      <c r="U62" s="28"/>
      <c r="V62" s="28"/>
      <c r="W62" s="28"/>
      <c r="X62" s="28"/>
    </row>
    <row r="63" spans="1:24" s="36" customFormat="1" ht="13.5" customHeight="1" thickBot="1" x14ac:dyDescent="0.3">
      <c r="A63" s="28"/>
      <c r="B63" s="606"/>
      <c r="C63" s="469"/>
      <c r="D63" s="469"/>
      <c r="E63" s="469"/>
      <c r="F63" s="47" t="s">
        <v>79</v>
      </c>
      <c r="G63" s="48">
        <f t="shared" ref="G63" si="45">+E59</f>
        <v>1.587</v>
      </c>
      <c r="H63" s="49"/>
      <c r="I63" s="50"/>
      <c r="J63" s="51">
        <v>1.397</v>
      </c>
      <c r="K63" s="469"/>
      <c r="L63" s="469"/>
      <c r="M63" s="469"/>
      <c r="N63" s="469"/>
      <c r="O63" s="469"/>
      <c r="P63" s="474"/>
      <c r="Q63" s="188"/>
      <c r="R63" s="191"/>
      <c r="S63" s="188"/>
      <c r="T63" s="28"/>
      <c r="U63" s="28"/>
      <c r="V63" s="28"/>
      <c r="W63" s="28"/>
      <c r="X63" s="28"/>
    </row>
    <row r="64" spans="1:24" s="36" customFormat="1" ht="13.5" customHeight="1" x14ac:dyDescent="0.25">
      <c r="A64" s="28"/>
      <c r="B64" s="487">
        <v>10</v>
      </c>
      <c r="C64" s="490">
        <f>+C59+$N$12</f>
        <v>21.060000000000002</v>
      </c>
      <c r="D64" s="467">
        <v>1.7769999999999999</v>
      </c>
      <c r="E64" s="467">
        <v>1.694</v>
      </c>
      <c r="F64" s="37" t="s">
        <v>75</v>
      </c>
      <c r="G64" s="38">
        <v>0</v>
      </c>
      <c r="H64" s="39"/>
      <c r="I64" s="40"/>
      <c r="J64" s="41">
        <v>0</v>
      </c>
      <c r="K64" s="467">
        <f>(2*J67+J68+J64)/4</f>
        <v>1.11375</v>
      </c>
      <c r="L64" s="467">
        <f>ROUND(+(D59+D64)/2*(C64-C59),3)</f>
        <v>3.4020000000000001</v>
      </c>
      <c r="M64" s="467">
        <f>ROUND(+K64*L64,4)</f>
        <v>3.7890000000000001</v>
      </c>
      <c r="N64" s="470">
        <f t="shared" ref="N64" si="46">ROUND(+M64/$M$128*100,2)</f>
        <v>7.62</v>
      </c>
      <c r="O64" s="471"/>
      <c r="P64" s="472"/>
      <c r="Q64" s="188"/>
      <c r="R64" s="191"/>
      <c r="T64" s="28"/>
      <c r="U64" s="28"/>
      <c r="V64" s="28"/>
      <c r="W64" s="28"/>
      <c r="X64" s="28"/>
    </row>
    <row r="65" spans="1:24" s="36" customFormat="1" ht="13.5" customHeight="1" x14ac:dyDescent="0.25">
      <c r="A65" s="28"/>
      <c r="B65" s="488"/>
      <c r="C65" s="468"/>
      <c r="D65" s="468"/>
      <c r="E65" s="468"/>
      <c r="F65" s="42" t="s">
        <v>76</v>
      </c>
      <c r="G65" s="43">
        <f>IF(E64&lt;0.125,"NA",IF(0.125&lt;=E64,(0.2*E64)))</f>
        <v>0.33879999999999999</v>
      </c>
      <c r="H65" s="44"/>
      <c r="I65" s="45"/>
      <c r="J65" s="46"/>
      <c r="K65" s="468"/>
      <c r="L65" s="468"/>
      <c r="M65" s="468"/>
      <c r="N65" s="468"/>
      <c r="O65" s="468"/>
      <c r="P65" s="473"/>
      <c r="Q65" s="188"/>
      <c r="R65" s="188"/>
      <c r="S65" s="188"/>
      <c r="T65" s="28"/>
      <c r="U65" s="28"/>
      <c r="V65" s="28"/>
      <c r="W65" s="28"/>
      <c r="X65" s="28"/>
    </row>
    <row r="66" spans="1:24" s="36" customFormat="1" ht="13.5" customHeight="1" x14ac:dyDescent="0.25">
      <c r="A66" s="28"/>
      <c r="B66" s="488"/>
      <c r="C66" s="468"/>
      <c r="D66" s="468"/>
      <c r="E66" s="468"/>
      <c r="F66" s="42" t="s">
        <v>77</v>
      </c>
      <c r="G66" s="43">
        <f>+E64*0.4</f>
        <v>0.67759999999999998</v>
      </c>
      <c r="H66" s="44"/>
      <c r="I66" s="45"/>
      <c r="J66" s="46"/>
      <c r="K66" s="468"/>
      <c r="L66" s="468"/>
      <c r="M66" s="468"/>
      <c r="N66" s="468"/>
      <c r="O66" s="468"/>
      <c r="P66" s="473"/>
      <c r="Q66" s="188"/>
      <c r="R66" s="191"/>
      <c r="S66" s="188"/>
      <c r="T66" s="28"/>
      <c r="U66" s="28"/>
      <c r="V66" s="28"/>
      <c r="W66" s="28"/>
      <c r="X66" s="28"/>
    </row>
    <row r="67" spans="1:24" s="36" customFormat="1" ht="13.5" customHeight="1" x14ac:dyDescent="0.25">
      <c r="A67" s="28"/>
      <c r="B67" s="488"/>
      <c r="C67" s="468"/>
      <c r="D67" s="468"/>
      <c r="E67" s="468"/>
      <c r="F67" s="42" t="s">
        <v>78</v>
      </c>
      <c r="G67" s="43">
        <f>IF(E64&lt;0.125,"NA",IF(0.125&lt;=E64,(0.8*E64)))</f>
        <v>1.3552</v>
      </c>
      <c r="H67" s="44"/>
      <c r="I67" s="45"/>
      <c r="J67" s="46">
        <v>1.478</v>
      </c>
      <c r="K67" s="468"/>
      <c r="L67" s="468"/>
      <c r="M67" s="468"/>
      <c r="N67" s="468"/>
      <c r="O67" s="468"/>
      <c r="P67" s="473"/>
      <c r="Q67" s="188"/>
      <c r="R67" s="188"/>
      <c r="S67" s="188"/>
      <c r="T67" s="28"/>
      <c r="U67" s="28"/>
      <c r="V67" s="28"/>
      <c r="W67" s="28"/>
      <c r="X67" s="28"/>
    </row>
    <row r="68" spans="1:24" s="36" customFormat="1" ht="13.5" customHeight="1" thickBot="1" x14ac:dyDescent="0.3">
      <c r="A68" s="28"/>
      <c r="B68" s="489"/>
      <c r="C68" s="469"/>
      <c r="D68" s="469"/>
      <c r="E68" s="469"/>
      <c r="F68" s="47" t="s">
        <v>79</v>
      </c>
      <c r="G68" s="48">
        <f>+E64</f>
        <v>1.694</v>
      </c>
      <c r="H68" s="49"/>
      <c r="I68" s="50"/>
      <c r="J68" s="51">
        <v>1.4990000000000001</v>
      </c>
      <c r="K68" s="469"/>
      <c r="L68" s="469"/>
      <c r="M68" s="469"/>
      <c r="N68" s="469"/>
      <c r="O68" s="469"/>
      <c r="P68" s="474"/>
      <c r="Q68" s="188"/>
      <c r="R68" s="191"/>
      <c r="S68" s="188"/>
      <c r="T68" s="28"/>
      <c r="U68" s="28"/>
      <c r="V68" s="28"/>
      <c r="W68" s="28"/>
      <c r="X68" s="28"/>
    </row>
    <row r="69" spans="1:24" s="36" customFormat="1" ht="13.5" customHeight="1" x14ac:dyDescent="0.25">
      <c r="A69" s="28"/>
      <c r="B69" s="487">
        <v>11</v>
      </c>
      <c r="C69" s="490">
        <f>+C64+$N$12</f>
        <v>23.060000000000002</v>
      </c>
      <c r="D69" s="467">
        <v>1.8220000000000001</v>
      </c>
      <c r="E69" s="467">
        <v>1.8089999999999999</v>
      </c>
      <c r="F69" s="37" t="s">
        <v>75</v>
      </c>
      <c r="G69" s="38">
        <v>0</v>
      </c>
      <c r="H69" s="39"/>
      <c r="I69" s="40"/>
      <c r="J69" s="41">
        <v>0</v>
      </c>
      <c r="K69" s="467">
        <f t="shared" ref="K69" si="47">(2*J72+J73+J69)/4</f>
        <v>1.103</v>
      </c>
      <c r="L69" s="467">
        <f>ROUND(+(D64+D69)/2*(C69-C64),3)</f>
        <v>3.5990000000000002</v>
      </c>
      <c r="M69" s="467">
        <f>ROUND(+K69*L69,4)</f>
        <v>3.9697</v>
      </c>
      <c r="N69" s="470">
        <f t="shared" ref="N69" si="48">ROUND(+M69/$M$128*100,2)</f>
        <v>7.98</v>
      </c>
      <c r="O69" s="471"/>
      <c r="P69" s="472"/>
      <c r="Q69" s="188"/>
      <c r="R69" s="191"/>
      <c r="T69" s="28"/>
      <c r="U69" s="28"/>
      <c r="V69" s="28"/>
      <c r="W69" s="28"/>
      <c r="X69" s="28"/>
    </row>
    <row r="70" spans="1:24" s="36" customFormat="1" ht="13.5" customHeight="1" x14ac:dyDescent="0.25">
      <c r="A70" s="28"/>
      <c r="B70" s="488"/>
      <c r="C70" s="468"/>
      <c r="D70" s="468"/>
      <c r="E70" s="468"/>
      <c r="F70" s="42" t="s">
        <v>76</v>
      </c>
      <c r="G70" s="43">
        <f t="shared" ref="G70" si="49">IF(E69&lt;0.125,"NA",IF(0.125&lt;=E69,(0.2*E69)))</f>
        <v>0.36180000000000001</v>
      </c>
      <c r="H70" s="44"/>
      <c r="I70" s="45"/>
      <c r="J70" s="46"/>
      <c r="K70" s="468"/>
      <c r="L70" s="468"/>
      <c r="M70" s="468"/>
      <c r="N70" s="468"/>
      <c r="O70" s="468"/>
      <c r="P70" s="473"/>
      <c r="Q70" s="188"/>
      <c r="R70" s="188"/>
      <c r="S70" s="188"/>
      <c r="T70" s="28"/>
      <c r="U70" s="28"/>
      <c r="V70" s="28"/>
      <c r="W70" s="28"/>
      <c r="X70" s="28"/>
    </row>
    <row r="71" spans="1:24" s="36" customFormat="1" ht="13.5" customHeight="1" x14ac:dyDescent="0.25">
      <c r="A71" s="28"/>
      <c r="B71" s="488"/>
      <c r="C71" s="468"/>
      <c r="D71" s="468"/>
      <c r="E71" s="468"/>
      <c r="F71" s="42" t="s">
        <v>77</v>
      </c>
      <c r="G71" s="43">
        <f t="shared" ref="G71" si="50">+E69*0.4</f>
        <v>0.72360000000000002</v>
      </c>
      <c r="H71" s="44"/>
      <c r="I71" s="45"/>
      <c r="J71" s="46"/>
      <c r="K71" s="468"/>
      <c r="L71" s="468"/>
      <c r="M71" s="468"/>
      <c r="N71" s="468"/>
      <c r="O71" s="468"/>
      <c r="P71" s="473"/>
      <c r="Q71" s="188"/>
      <c r="R71" s="191"/>
      <c r="S71" s="188"/>
      <c r="T71" s="28"/>
      <c r="U71" s="28"/>
      <c r="V71" s="28"/>
      <c r="W71" s="28"/>
      <c r="X71" s="28"/>
    </row>
    <row r="72" spans="1:24" s="36" customFormat="1" ht="13.5" customHeight="1" x14ac:dyDescent="0.25">
      <c r="A72" s="28"/>
      <c r="B72" s="488"/>
      <c r="C72" s="468"/>
      <c r="D72" s="468"/>
      <c r="E72" s="468"/>
      <c r="F72" s="42" t="s">
        <v>78</v>
      </c>
      <c r="G72" s="43">
        <f t="shared" ref="G72" si="51">IF(E69&lt;0.125,"NA",IF(0.125&lt;=E69,(0.8*E69)))</f>
        <v>1.4472</v>
      </c>
      <c r="H72" s="44"/>
      <c r="I72" s="45"/>
      <c r="J72" s="46">
        <v>1.4670000000000001</v>
      </c>
      <c r="K72" s="468"/>
      <c r="L72" s="468"/>
      <c r="M72" s="468"/>
      <c r="N72" s="468"/>
      <c r="O72" s="468"/>
      <c r="P72" s="473"/>
      <c r="Q72" s="188"/>
      <c r="R72" s="188"/>
      <c r="S72" s="188"/>
      <c r="T72" s="28"/>
      <c r="U72" s="28"/>
      <c r="V72" s="28"/>
      <c r="W72" s="28"/>
      <c r="X72" s="28"/>
    </row>
    <row r="73" spans="1:24" s="36" customFormat="1" ht="13.5" customHeight="1" thickBot="1" x14ac:dyDescent="0.3">
      <c r="A73" s="28"/>
      <c r="B73" s="489"/>
      <c r="C73" s="469"/>
      <c r="D73" s="469"/>
      <c r="E73" s="469"/>
      <c r="F73" s="47" t="s">
        <v>79</v>
      </c>
      <c r="G73" s="48">
        <f t="shared" ref="G73" si="52">+E69</f>
        <v>1.8089999999999999</v>
      </c>
      <c r="H73" s="49"/>
      <c r="I73" s="50"/>
      <c r="J73" s="51">
        <v>1.478</v>
      </c>
      <c r="K73" s="469"/>
      <c r="L73" s="469"/>
      <c r="M73" s="469"/>
      <c r="N73" s="469"/>
      <c r="O73" s="469"/>
      <c r="P73" s="474"/>
      <c r="Q73" s="188"/>
      <c r="R73" s="191"/>
      <c r="S73" s="188"/>
      <c r="T73" s="28"/>
      <c r="U73" s="28"/>
      <c r="V73" s="28"/>
      <c r="W73" s="28"/>
      <c r="X73" s="28"/>
    </row>
    <row r="74" spans="1:24" s="36" customFormat="1" ht="13.5" customHeight="1" x14ac:dyDescent="0.25">
      <c r="A74" s="28"/>
      <c r="B74" s="487">
        <v>12</v>
      </c>
      <c r="C74" s="490">
        <f>+C69+$N$12</f>
        <v>25.060000000000002</v>
      </c>
      <c r="D74" s="467">
        <v>1.798</v>
      </c>
      <c r="E74" s="467">
        <v>1.81</v>
      </c>
      <c r="F74" s="37" t="s">
        <v>75</v>
      </c>
      <c r="G74" s="38">
        <v>0</v>
      </c>
      <c r="H74" s="39"/>
      <c r="I74" s="40"/>
      <c r="J74" s="41">
        <v>0</v>
      </c>
      <c r="K74" s="467">
        <f t="shared" ref="K74" si="53">(2*J77+J78+J74)/4</f>
        <v>1.165</v>
      </c>
      <c r="L74" s="467">
        <f>ROUND(+(D69+D74)/2*(C74-C69),3)</f>
        <v>3.62</v>
      </c>
      <c r="M74" s="467">
        <f>ROUND(+K74*L74,4)</f>
        <v>4.2172999999999998</v>
      </c>
      <c r="N74" s="470">
        <f t="shared" ref="N74" si="54">ROUND(+M74/$M$128*100,2)</f>
        <v>8.48</v>
      </c>
      <c r="O74" s="471"/>
      <c r="P74" s="472"/>
      <c r="Q74" s="188"/>
      <c r="R74" s="191"/>
      <c r="T74" s="28"/>
      <c r="U74" s="28"/>
      <c r="V74" s="28"/>
      <c r="W74" s="28"/>
      <c r="X74" s="28"/>
    </row>
    <row r="75" spans="1:24" s="36" customFormat="1" ht="13.5" customHeight="1" x14ac:dyDescent="0.25">
      <c r="A75" s="28"/>
      <c r="B75" s="488"/>
      <c r="C75" s="468"/>
      <c r="D75" s="468"/>
      <c r="E75" s="468"/>
      <c r="F75" s="42" t="s">
        <v>76</v>
      </c>
      <c r="G75" s="43">
        <f t="shared" ref="G75" si="55">IF(E74&lt;0.125,"NA",IF(0.125&lt;=E74,(0.2*E74)))</f>
        <v>0.36200000000000004</v>
      </c>
      <c r="H75" s="44"/>
      <c r="I75" s="45"/>
      <c r="J75" s="46"/>
      <c r="K75" s="468"/>
      <c r="L75" s="468"/>
      <c r="M75" s="468"/>
      <c r="N75" s="468"/>
      <c r="O75" s="468"/>
      <c r="P75" s="473"/>
      <c r="Q75" s="188"/>
      <c r="R75" s="188"/>
      <c r="S75" s="188"/>
      <c r="T75" s="28"/>
      <c r="U75" s="28"/>
      <c r="V75" s="28"/>
      <c r="W75" s="28"/>
      <c r="X75" s="28"/>
    </row>
    <row r="76" spans="1:24" s="36" customFormat="1" ht="13.5" customHeight="1" x14ac:dyDescent="0.25">
      <c r="A76" s="28"/>
      <c r="B76" s="488"/>
      <c r="C76" s="468"/>
      <c r="D76" s="468"/>
      <c r="E76" s="468"/>
      <c r="F76" s="42" t="s">
        <v>77</v>
      </c>
      <c r="G76" s="43">
        <f t="shared" ref="G76" si="56">+E74*0.4</f>
        <v>0.72400000000000009</v>
      </c>
      <c r="H76" s="44"/>
      <c r="I76" s="45"/>
      <c r="J76" s="46"/>
      <c r="K76" s="468"/>
      <c r="L76" s="468"/>
      <c r="M76" s="468"/>
      <c r="N76" s="468"/>
      <c r="O76" s="468"/>
      <c r="P76" s="473"/>
      <c r="Q76" s="188"/>
      <c r="R76" s="191"/>
      <c r="S76" s="188"/>
      <c r="T76" s="28"/>
      <c r="U76" s="28"/>
      <c r="V76" s="28"/>
      <c r="W76" s="28"/>
      <c r="X76" s="28"/>
    </row>
    <row r="77" spans="1:24" s="36" customFormat="1" ht="13.5" customHeight="1" x14ac:dyDescent="0.25">
      <c r="A77" s="28"/>
      <c r="B77" s="488"/>
      <c r="C77" s="468"/>
      <c r="D77" s="468"/>
      <c r="E77" s="468"/>
      <c r="F77" s="42" t="s">
        <v>78</v>
      </c>
      <c r="G77" s="43">
        <f t="shared" ref="G77" si="57">IF(E74&lt;0.125,"NA",IF(0.125&lt;=E74,(0.8*E74)))</f>
        <v>1.4480000000000002</v>
      </c>
      <c r="H77" s="44"/>
      <c r="I77" s="45"/>
      <c r="J77" s="46">
        <v>1.5589999999999999</v>
      </c>
      <c r="K77" s="468"/>
      <c r="L77" s="468"/>
      <c r="M77" s="468"/>
      <c r="N77" s="468"/>
      <c r="O77" s="468"/>
      <c r="P77" s="473"/>
      <c r="Q77" s="188"/>
      <c r="R77" s="188"/>
      <c r="S77" s="188"/>
      <c r="T77" s="28"/>
      <c r="U77" s="28"/>
      <c r="V77" s="28"/>
      <c r="W77" s="28"/>
      <c r="X77" s="28"/>
    </row>
    <row r="78" spans="1:24" s="36" customFormat="1" ht="13.5" customHeight="1" thickBot="1" x14ac:dyDescent="0.3">
      <c r="A78" s="28"/>
      <c r="B78" s="489"/>
      <c r="C78" s="469"/>
      <c r="D78" s="469"/>
      <c r="E78" s="469"/>
      <c r="F78" s="47" t="s">
        <v>79</v>
      </c>
      <c r="G78" s="48">
        <f t="shared" ref="G78" si="58">+E74</f>
        <v>1.81</v>
      </c>
      <c r="H78" s="49"/>
      <c r="I78" s="50"/>
      <c r="J78" s="51">
        <v>1.542</v>
      </c>
      <c r="K78" s="469"/>
      <c r="L78" s="469"/>
      <c r="M78" s="469"/>
      <c r="N78" s="469"/>
      <c r="O78" s="469"/>
      <c r="P78" s="474"/>
      <c r="Q78" s="188"/>
      <c r="R78" s="191"/>
      <c r="S78" s="188"/>
      <c r="T78" s="28"/>
      <c r="U78" s="28"/>
      <c r="V78" s="28"/>
      <c r="W78" s="28"/>
      <c r="X78" s="28"/>
    </row>
    <row r="79" spans="1:24" s="36" customFormat="1" ht="13.5" customHeight="1" x14ac:dyDescent="0.25">
      <c r="A79" s="28"/>
      <c r="B79" s="487">
        <v>13</v>
      </c>
      <c r="C79" s="490">
        <f>+C74+$N$12</f>
        <v>27.060000000000002</v>
      </c>
      <c r="D79" s="467">
        <v>1.948</v>
      </c>
      <c r="E79" s="467">
        <v>1.798</v>
      </c>
      <c r="F79" s="37" t="s">
        <v>75</v>
      </c>
      <c r="G79" s="38">
        <v>0</v>
      </c>
      <c r="H79" s="39"/>
      <c r="I79" s="40"/>
      <c r="J79" s="41">
        <v>0</v>
      </c>
      <c r="K79" s="467">
        <f t="shared" ref="K79" si="59">(2*J82+J83+J79)/4</f>
        <v>1.226</v>
      </c>
      <c r="L79" s="467">
        <f>ROUND(+(D74+D79)/2*(C79-C74),3)</f>
        <v>3.746</v>
      </c>
      <c r="M79" s="467">
        <f>ROUND(+K79*L79,4)</f>
        <v>4.5926</v>
      </c>
      <c r="N79" s="470">
        <f t="shared" ref="N79" si="60">ROUND(+M79/$M$128*100,2)</f>
        <v>9.23</v>
      </c>
      <c r="O79" s="471"/>
      <c r="P79" s="472"/>
      <c r="Q79" s="188"/>
      <c r="R79" s="191"/>
      <c r="T79" s="28"/>
      <c r="U79" s="28"/>
      <c r="V79" s="28"/>
      <c r="W79" s="28"/>
      <c r="X79" s="28"/>
    </row>
    <row r="80" spans="1:24" s="36" customFormat="1" ht="13.5" customHeight="1" x14ac:dyDescent="0.25">
      <c r="A80" s="28"/>
      <c r="B80" s="488"/>
      <c r="C80" s="468"/>
      <c r="D80" s="468"/>
      <c r="E80" s="468"/>
      <c r="F80" s="42" t="s">
        <v>76</v>
      </c>
      <c r="G80" s="43">
        <f t="shared" ref="G80" si="61">IF(E79&lt;0.125,"NA",IF(0.125&lt;=E79,(0.2*E79)))</f>
        <v>0.35960000000000003</v>
      </c>
      <c r="H80" s="44"/>
      <c r="I80" s="45"/>
      <c r="J80" s="46"/>
      <c r="K80" s="468"/>
      <c r="L80" s="468"/>
      <c r="M80" s="468"/>
      <c r="N80" s="468"/>
      <c r="O80" s="468"/>
      <c r="P80" s="473"/>
      <c r="Q80" s="188"/>
      <c r="R80" s="188"/>
      <c r="S80" s="188"/>
      <c r="T80" s="28"/>
      <c r="U80" s="28"/>
      <c r="V80" s="28"/>
      <c r="W80" s="28"/>
      <c r="X80" s="28"/>
    </row>
    <row r="81" spans="1:24" s="36" customFormat="1" ht="13.5" customHeight="1" x14ac:dyDescent="0.25">
      <c r="A81" s="28"/>
      <c r="B81" s="488"/>
      <c r="C81" s="468"/>
      <c r="D81" s="468"/>
      <c r="E81" s="468"/>
      <c r="F81" s="42" t="s">
        <v>77</v>
      </c>
      <c r="G81" s="43">
        <f t="shared" ref="G81" si="62">+E79*0.4</f>
        <v>0.71920000000000006</v>
      </c>
      <c r="H81" s="44"/>
      <c r="I81" s="45"/>
      <c r="J81" s="46"/>
      <c r="K81" s="468"/>
      <c r="L81" s="468"/>
      <c r="M81" s="468"/>
      <c r="N81" s="468"/>
      <c r="O81" s="468"/>
      <c r="P81" s="473"/>
      <c r="Q81" s="188"/>
      <c r="R81" s="191"/>
      <c r="S81" s="188"/>
      <c r="T81" s="28"/>
      <c r="U81" s="28"/>
      <c r="V81" s="28"/>
      <c r="W81" s="28"/>
      <c r="X81" s="28"/>
    </row>
    <row r="82" spans="1:24" s="36" customFormat="1" ht="13.5" customHeight="1" x14ac:dyDescent="0.25">
      <c r="A82" s="28"/>
      <c r="B82" s="488"/>
      <c r="C82" s="468"/>
      <c r="D82" s="468"/>
      <c r="E82" s="468"/>
      <c r="F82" s="42" t="s">
        <v>78</v>
      </c>
      <c r="G82" s="43">
        <f t="shared" ref="G82" si="63">IF(E79&lt;0.125,"NA",IF(0.125&lt;=E79,(0.8*E79)))</f>
        <v>1.4384000000000001</v>
      </c>
      <c r="H82" s="44"/>
      <c r="I82" s="45"/>
      <c r="J82" s="46">
        <v>1.6339999999999999</v>
      </c>
      <c r="K82" s="468"/>
      <c r="L82" s="468"/>
      <c r="M82" s="468"/>
      <c r="N82" s="468"/>
      <c r="O82" s="468"/>
      <c r="P82" s="473"/>
      <c r="Q82" s="188"/>
      <c r="R82" s="188"/>
      <c r="S82" s="188"/>
      <c r="T82" s="28"/>
      <c r="U82" s="28"/>
      <c r="V82" s="28"/>
      <c r="W82" s="28"/>
      <c r="X82" s="28"/>
    </row>
    <row r="83" spans="1:24" s="36" customFormat="1" ht="13.5" customHeight="1" thickBot="1" x14ac:dyDescent="0.3">
      <c r="A83" s="28"/>
      <c r="B83" s="489"/>
      <c r="C83" s="469"/>
      <c r="D83" s="469"/>
      <c r="E83" s="469"/>
      <c r="F83" s="47" t="s">
        <v>79</v>
      </c>
      <c r="G83" s="48">
        <f t="shared" ref="G83" si="64">+E79</f>
        <v>1.798</v>
      </c>
      <c r="H83" s="49"/>
      <c r="I83" s="50"/>
      <c r="J83" s="51">
        <v>1.6359999999999999</v>
      </c>
      <c r="K83" s="469"/>
      <c r="L83" s="469"/>
      <c r="M83" s="469"/>
      <c r="N83" s="469"/>
      <c r="O83" s="469"/>
      <c r="P83" s="474"/>
      <c r="Q83" s="188"/>
      <c r="R83" s="191"/>
      <c r="S83" s="188"/>
      <c r="T83" s="28"/>
      <c r="U83" s="28"/>
      <c r="V83" s="28"/>
      <c r="W83" s="28"/>
      <c r="X83" s="28"/>
    </row>
    <row r="84" spans="1:24" s="36" customFormat="1" ht="13.5" customHeight="1" x14ac:dyDescent="0.25">
      <c r="A84" s="28"/>
      <c r="B84" s="487">
        <v>14</v>
      </c>
      <c r="C84" s="490">
        <f>+C79+$N$12</f>
        <v>29.060000000000002</v>
      </c>
      <c r="D84" s="467">
        <v>2.1259999999999999</v>
      </c>
      <c r="E84" s="467">
        <v>1.994</v>
      </c>
      <c r="F84" s="37" t="s">
        <v>75</v>
      </c>
      <c r="G84" s="38">
        <v>0</v>
      </c>
      <c r="H84" s="39"/>
      <c r="I84" s="40"/>
      <c r="J84" s="41">
        <v>0</v>
      </c>
      <c r="K84" s="467">
        <f t="shared" ref="K84" si="65">(2*J87+J88+J84)/4</f>
        <v>1.1472499999999999</v>
      </c>
      <c r="L84" s="467">
        <f>ROUND(+(D79+D84)/2*(C84-C79),3)</f>
        <v>4.0739999999999998</v>
      </c>
      <c r="M84" s="467">
        <f>ROUND(+K84*L84,4)</f>
        <v>4.6738999999999997</v>
      </c>
      <c r="N84" s="470">
        <f t="shared" ref="N84" si="66">ROUND(+M84/$M$128*100,2)</f>
        <v>9.4</v>
      </c>
      <c r="O84" s="471"/>
      <c r="P84" s="472"/>
      <c r="Q84" s="188"/>
      <c r="R84" s="191"/>
      <c r="T84" s="28"/>
      <c r="U84" s="28"/>
      <c r="V84" s="28"/>
      <c r="W84" s="28"/>
      <c r="X84" s="28"/>
    </row>
    <row r="85" spans="1:24" s="36" customFormat="1" ht="13.5" customHeight="1" x14ac:dyDescent="0.25">
      <c r="A85" s="28"/>
      <c r="B85" s="488"/>
      <c r="C85" s="468"/>
      <c r="D85" s="468"/>
      <c r="E85" s="468"/>
      <c r="F85" s="42" t="s">
        <v>76</v>
      </c>
      <c r="G85" s="43">
        <f t="shared" ref="G85" si="67">IF(E84&lt;0.125,"NA",IF(0.125&lt;=E84,(0.2*E84)))</f>
        <v>0.39880000000000004</v>
      </c>
      <c r="H85" s="44"/>
      <c r="I85" s="45"/>
      <c r="J85" s="46"/>
      <c r="K85" s="468"/>
      <c r="L85" s="468"/>
      <c r="M85" s="468"/>
      <c r="N85" s="468"/>
      <c r="O85" s="468"/>
      <c r="P85" s="473"/>
      <c r="Q85" s="188"/>
      <c r="R85" s="188"/>
      <c r="S85" s="188"/>
      <c r="T85" s="28"/>
      <c r="U85" s="28"/>
      <c r="V85" s="28"/>
      <c r="W85" s="28"/>
      <c r="X85" s="28"/>
    </row>
    <row r="86" spans="1:24" s="36" customFormat="1" ht="13.5" customHeight="1" x14ac:dyDescent="0.25">
      <c r="A86" s="28"/>
      <c r="B86" s="488"/>
      <c r="C86" s="468"/>
      <c r="D86" s="468"/>
      <c r="E86" s="468"/>
      <c r="F86" s="42" t="s">
        <v>77</v>
      </c>
      <c r="G86" s="43">
        <f t="shared" ref="G86" si="68">+E84*0.4</f>
        <v>0.79760000000000009</v>
      </c>
      <c r="H86" s="44"/>
      <c r="I86" s="45"/>
      <c r="J86" s="46"/>
      <c r="K86" s="468"/>
      <c r="L86" s="468"/>
      <c r="M86" s="468"/>
      <c r="N86" s="468"/>
      <c r="O86" s="468"/>
      <c r="P86" s="473"/>
      <c r="Q86" s="188"/>
      <c r="R86" s="191"/>
      <c r="S86" s="188"/>
      <c r="T86" s="28"/>
      <c r="U86" s="28"/>
      <c r="V86" s="28"/>
      <c r="W86" s="28"/>
      <c r="X86" s="28"/>
    </row>
    <row r="87" spans="1:24" s="36" customFormat="1" ht="13.5" customHeight="1" x14ac:dyDescent="0.25">
      <c r="A87" s="28"/>
      <c r="B87" s="488"/>
      <c r="C87" s="468"/>
      <c r="D87" s="468"/>
      <c r="E87" s="468"/>
      <c r="F87" s="42" t="s">
        <v>78</v>
      </c>
      <c r="G87" s="43">
        <f t="shared" ref="G87" si="69">IF(E84&lt;0.125,"NA",IF(0.125&lt;=E84,(0.8*E84)))</f>
        <v>1.5952000000000002</v>
      </c>
      <c r="H87" s="44"/>
      <c r="I87" s="45"/>
      <c r="J87" s="46">
        <v>1.5309999999999999</v>
      </c>
      <c r="K87" s="468"/>
      <c r="L87" s="468"/>
      <c r="M87" s="468"/>
      <c r="N87" s="468"/>
      <c r="O87" s="468"/>
      <c r="P87" s="473"/>
      <c r="Q87" s="188"/>
      <c r="R87" s="188"/>
      <c r="S87" s="188"/>
      <c r="T87" s="28"/>
      <c r="U87" s="28"/>
      <c r="V87" s="28"/>
      <c r="W87" s="28"/>
      <c r="X87" s="28"/>
    </row>
    <row r="88" spans="1:24" s="36" customFormat="1" ht="13.5" customHeight="1" thickBot="1" x14ac:dyDescent="0.3">
      <c r="A88" s="28"/>
      <c r="B88" s="489"/>
      <c r="C88" s="469"/>
      <c r="D88" s="469"/>
      <c r="E88" s="469"/>
      <c r="F88" s="47" t="s">
        <v>79</v>
      </c>
      <c r="G88" s="48">
        <f t="shared" ref="G88" si="70">+E84</f>
        <v>1.994</v>
      </c>
      <c r="H88" s="49"/>
      <c r="I88" s="50"/>
      <c r="J88" s="51">
        <v>1.5269999999999999</v>
      </c>
      <c r="K88" s="469"/>
      <c r="L88" s="469"/>
      <c r="M88" s="469"/>
      <c r="N88" s="469"/>
      <c r="O88" s="469"/>
      <c r="P88" s="474"/>
      <c r="Q88" s="188"/>
      <c r="R88" s="191"/>
      <c r="S88" s="188"/>
      <c r="T88" s="28"/>
      <c r="U88" s="28"/>
      <c r="V88" s="28"/>
      <c r="W88" s="28"/>
      <c r="X88" s="28"/>
    </row>
    <row r="89" spans="1:24" s="36" customFormat="1" ht="13.5" customHeight="1" x14ac:dyDescent="0.25">
      <c r="A89" s="28"/>
      <c r="B89" s="487">
        <v>15</v>
      </c>
      <c r="C89" s="490">
        <f>+C84+$N$12</f>
        <v>31.060000000000002</v>
      </c>
      <c r="D89" s="467">
        <v>2.2130000000000001</v>
      </c>
      <c r="E89" s="467">
        <v>2.2829999999999999</v>
      </c>
      <c r="F89" s="37" t="s">
        <v>75</v>
      </c>
      <c r="G89" s="38">
        <v>0</v>
      </c>
      <c r="H89" s="39"/>
      <c r="I89" s="40"/>
      <c r="J89" s="41">
        <v>0</v>
      </c>
      <c r="K89" s="467">
        <f t="shared" ref="K89" si="71">(2*J92+J93+J89)/4</f>
        <v>1.4875</v>
      </c>
      <c r="L89" s="467">
        <f>ROUND(+(D84+D89)/2*(C89-C84),3)</f>
        <v>4.3390000000000004</v>
      </c>
      <c r="M89" s="467">
        <f>ROUND(+K89*L89,4)</f>
        <v>6.4542999999999999</v>
      </c>
      <c r="N89" s="470">
        <f t="shared" ref="N89" si="72">ROUND(+M89/$M$128*100,2)</f>
        <v>12.97</v>
      </c>
      <c r="O89" s="471"/>
      <c r="P89" s="472"/>
      <c r="Q89" s="188"/>
      <c r="R89" s="191"/>
      <c r="T89" s="28"/>
      <c r="U89" s="28"/>
      <c r="V89" s="28"/>
      <c r="W89" s="28"/>
      <c r="X89" s="28"/>
    </row>
    <row r="90" spans="1:24" s="36" customFormat="1" ht="13.5" customHeight="1" x14ac:dyDescent="0.25">
      <c r="A90" s="28"/>
      <c r="B90" s="600"/>
      <c r="C90" s="602"/>
      <c r="D90" s="592"/>
      <c r="E90" s="592"/>
      <c r="F90" s="42" t="s">
        <v>76</v>
      </c>
      <c r="G90" s="43">
        <f t="shared" ref="G90" si="73">IF(E89&lt;0.125,"NA",IF(0.125&lt;=E89,(0.2*E89)))</f>
        <v>0.45660000000000001</v>
      </c>
      <c r="H90" s="44"/>
      <c r="I90" s="45"/>
      <c r="J90" s="46"/>
      <c r="K90" s="468"/>
      <c r="L90" s="592"/>
      <c r="M90" s="592"/>
      <c r="N90" s="594"/>
      <c r="O90" s="596"/>
      <c r="P90" s="598"/>
      <c r="Q90" s="188"/>
      <c r="R90" s="188"/>
      <c r="S90" s="188"/>
      <c r="T90" s="28"/>
      <c r="U90" s="28"/>
      <c r="V90" s="28"/>
      <c r="W90" s="28"/>
      <c r="X90" s="28"/>
    </row>
    <row r="91" spans="1:24" s="36" customFormat="1" ht="13.5" customHeight="1" x14ac:dyDescent="0.25">
      <c r="A91" s="28"/>
      <c r="B91" s="600"/>
      <c r="C91" s="602"/>
      <c r="D91" s="592"/>
      <c r="E91" s="592"/>
      <c r="F91" s="42" t="s">
        <v>77</v>
      </c>
      <c r="G91" s="43">
        <f t="shared" ref="G91" si="74">+E89*0.4</f>
        <v>0.91320000000000001</v>
      </c>
      <c r="H91" s="44"/>
      <c r="I91" s="45"/>
      <c r="J91" s="46"/>
      <c r="K91" s="468"/>
      <c r="L91" s="592"/>
      <c r="M91" s="592"/>
      <c r="N91" s="594"/>
      <c r="O91" s="596"/>
      <c r="P91" s="598"/>
      <c r="Q91" s="188"/>
      <c r="R91" s="191"/>
      <c r="S91" s="188"/>
      <c r="T91" s="28"/>
      <c r="U91" s="28"/>
      <c r="V91" s="28"/>
      <c r="W91" s="28"/>
      <c r="X91" s="28"/>
    </row>
    <row r="92" spans="1:24" s="36" customFormat="1" ht="13.5" customHeight="1" x14ac:dyDescent="0.25">
      <c r="A92" s="28"/>
      <c r="B92" s="600"/>
      <c r="C92" s="602"/>
      <c r="D92" s="592"/>
      <c r="E92" s="592"/>
      <c r="F92" s="42" t="s">
        <v>78</v>
      </c>
      <c r="G92" s="43">
        <f t="shared" ref="G92" si="75">IF(E89&lt;0.125,"NA",IF(0.125&lt;=E89,(0.8*E89)))</f>
        <v>1.8264</v>
      </c>
      <c r="H92" s="44"/>
      <c r="I92" s="45"/>
      <c r="J92" s="46">
        <v>1.976</v>
      </c>
      <c r="K92" s="468"/>
      <c r="L92" s="592"/>
      <c r="M92" s="592"/>
      <c r="N92" s="594"/>
      <c r="O92" s="596"/>
      <c r="P92" s="598"/>
      <c r="Q92" s="188"/>
      <c r="R92" s="188"/>
      <c r="S92" s="188"/>
      <c r="T92" s="28"/>
      <c r="U92" s="28"/>
      <c r="V92" s="28"/>
      <c r="W92" s="28"/>
      <c r="X92" s="28"/>
    </row>
    <row r="93" spans="1:24" s="36" customFormat="1" ht="13.5" customHeight="1" thickBot="1" x14ac:dyDescent="0.3">
      <c r="A93" s="28"/>
      <c r="B93" s="601"/>
      <c r="C93" s="603"/>
      <c r="D93" s="593"/>
      <c r="E93" s="593"/>
      <c r="F93" s="47" t="s">
        <v>79</v>
      </c>
      <c r="G93" s="48">
        <f t="shared" ref="G93" si="76">+E89</f>
        <v>2.2829999999999999</v>
      </c>
      <c r="H93" s="49"/>
      <c r="I93" s="50"/>
      <c r="J93" s="51">
        <v>1.998</v>
      </c>
      <c r="K93" s="469"/>
      <c r="L93" s="593"/>
      <c r="M93" s="593"/>
      <c r="N93" s="595"/>
      <c r="O93" s="597"/>
      <c r="P93" s="599"/>
      <c r="Q93" s="188"/>
      <c r="R93" s="191"/>
      <c r="S93" s="188"/>
      <c r="T93" s="28"/>
      <c r="U93" s="28"/>
      <c r="V93" s="28"/>
      <c r="W93" s="28"/>
      <c r="X93" s="28"/>
    </row>
    <row r="94" spans="1:24" s="36" customFormat="1" ht="13.5" customHeight="1" x14ac:dyDescent="0.25">
      <c r="A94" s="28"/>
      <c r="B94" s="487">
        <v>16</v>
      </c>
      <c r="C94" s="490">
        <f>+C89+$N$12</f>
        <v>33.06</v>
      </c>
      <c r="D94" s="467">
        <v>0.60199999999999998</v>
      </c>
      <c r="E94" s="467">
        <v>1.7529999999999999</v>
      </c>
      <c r="F94" s="37" t="s">
        <v>75</v>
      </c>
      <c r="G94" s="38">
        <v>0</v>
      </c>
      <c r="H94" s="39"/>
      <c r="I94" s="40"/>
      <c r="J94" s="41">
        <v>0</v>
      </c>
      <c r="K94" s="467">
        <f t="shared" ref="K94" si="77">(2*J97+J98+J94)/4</f>
        <v>1.2955000000000001</v>
      </c>
      <c r="L94" s="467">
        <f>ROUND(+(D89+D94)/2*(C94-C89),3)</f>
        <v>2.8149999999999999</v>
      </c>
      <c r="M94" s="467">
        <f>ROUND(+K94*L94,4)</f>
        <v>3.6467999999999998</v>
      </c>
      <c r="N94" s="470">
        <f t="shared" ref="N94" si="78">ROUND(+M94/$M$128*100,2)</f>
        <v>7.33</v>
      </c>
      <c r="O94" s="471"/>
      <c r="P94" s="472"/>
      <c r="Q94" s="188"/>
      <c r="R94" s="191"/>
      <c r="T94" s="28"/>
      <c r="U94" s="28"/>
      <c r="V94" s="28"/>
      <c r="W94" s="28"/>
      <c r="X94" s="28"/>
    </row>
    <row r="95" spans="1:24" s="36" customFormat="1" ht="13.5" customHeight="1" x14ac:dyDescent="0.25">
      <c r="A95" s="28"/>
      <c r="B95" s="488"/>
      <c r="C95" s="468"/>
      <c r="D95" s="468"/>
      <c r="E95" s="468"/>
      <c r="F95" s="42" t="s">
        <v>76</v>
      </c>
      <c r="G95" s="43">
        <f t="shared" ref="G95" si="79">IF(E94&lt;0.125,"NA",IF(0.125&lt;=E94,(0.2*E94)))</f>
        <v>0.35060000000000002</v>
      </c>
      <c r="H95" s="44"/>
      <c r="I95" s="45"/>
      <c r="J95" s="46"/>
      <c r="K95" s="468"/>
      <c r="L95" s="468"/>
      <c r="M95" s="468"/>
      <c r="N95" s="468"/>
      <c r="O95" s="468"/>
      <c r="P95" s="473"/>
      <c r="Q95" s="188"/>
      <c r="R95" s="188"/>
      <c r="S95" s="188"/>
      <c r="T95" s="28"/>
      <c r="U95" s="28"/>
      <c r="V95" s="28"/>
      <c r="W95" s="28"/>
      <c r="X95" s="28"/>
    </row>
    <row r="96" spans="1:24" s="36" customFormat="1" ht="13.5" customHeight="1" x14ac:dyDescent="0.25">
      <c r="A96" s="28"/>
      <c r="B96" s="488"/>
      <c r="C96" s="468"/>
      <c r="D96" s="468"/>
      <c r="E96" s="468"/>
      <c r="F96" s="42" t="s">
        <v>77</v>
      </c>
      <c r="G96" s="43">
        <f t="shared" ref="G96" si="80">+E94*0.4</f>
        <v>0.70120000000000005</v>
      </c>
      <c r="H96" s="44"/>
      <c r="I96" s="45"/>
      <c r="J96" s="46"/>
      <c r="K96" s="468"/>
      <c r="L96" s="468"/>
      <c r="M96" s="468"/>
      <c r="N96" s="468"/>
      <c r="O96" s="468"/>
      <c r="P96" s="473"/>
      <c r="Q96" s="188"/>
      <c r="R96" s="191"/>
      <c r="S96" s="188"/>
      <c r="T96" s="28"/>
      <c r="U96" s="28"/>
      <c r="V96" s="28"/>
      <c r="W96" s="28"/>
      <c r="X96" s="28"/>
    </row>
    <row r="97" spans="1:24" s="36" customFormat="1" ht="13.5" customHeight="1" x14ac:dyDescent="0.25">
      <c r="A97" s="28"/>
      <c r="B97" s="488"/>
      <c r="C97" s="468"/>
      <c r="D97" s="468"/>
      <c r="E97" s="468"/>
      <c r="F97" s="42" t="s">
        <v>78</v>
      </c>
      <c r="G97" s="43">
        <f t="shared" ref="G97" si="81">IF(E94&lt;0.125,"NA",IF(0.125&lt;=E94,(0.8*E94)))</f>
        <v>1.4024000000000001</v>
      </c>
      <c r="H97" s="44"/>
      <c r="I97" s="45"/>
      <c r="J97" s="46">
        <v>1.6910000000000001</v>
      </c>
      <c r="K97" s="468"/>
      <c r="L97" s="468"/>
      <c r="M97" s="468"/>
      <c r="N97" s="468"/>
      <c r="O97" s="468"/>
      <c r="P97" s="473"/>
      <c r="Q97" s="188"/>
      <c r="R97" s="188"/>
      <c r="S97" s="188"/>
      <c r="T97" s="28"/>
      <c r="U97" s="28"/>
      <c r="V97" s="28"/>
      <c r="W97" s="28"/>
      <c r="X97" s="28"/>
    </row>
    <row r="98" spans="1:24" s="36" customFormat="1" ht="13.5" customHeight="1" thickBot="1" x14ac:dyDescent="0.3">
      <c r="A98" s="28"/>
      <c r="B98" s="489"/>
      <c r="C98" s="469"/>
      <c r="D98" s="469"/>
      <c r="E98" s="469"/>
      <c r="F98" s="47" t="s">
        <v>79</v>
      </c>
      <c r="G98" s="48">
        <f t="shared" ref="G98" si="82">+E94</f>
        <v>1.7529999999999999</v>
      </c>
      <c r="H98" s="49"/>
      <c r="I98" s="50"/>
      <c r="J98" s="51">
        <v>1.8</v>
      </c>
      <c r="K98" s="469"/>
      <c r="L98" s="469"/>
      <c r="M98" s="469"/>
      <c r="N98" s="469"/>
      <c r="O98" s="469"/>
      <c r="P98" s="474"/>
      <c r="Q98" s="188"/>
      <c r="R98" s="191"/>
      <c r="S98" s="188"/>
      <c r="T98" s="28"/>
      <c r="U98" s="28"/>
      <c r="V98" s="28"/>
      <c r="W98" s="28"/>
      <c r="X98" s="28"/>
    </row>
    <row r="99" spans="1:24" s="36" customFormat="1" ht="13.5" customHeight="1" x14ac:dyDescent="0.25">
      <c r="A99" s="28"/>
      <c r="B99" s="487">
        <v>17</v>
      </c>
      <c r="C99" s="490">
        <f>+C94+$N$12</f>
        <v>35.06</v>
      </c>
      <c r="D99" s="467">
        <v>0.42699999999999999</v>
      </c>
      <c r="E99" s="467">
        <v>0.45</v>
      </c>
      <c r="F99" s="37" t="s">
        <v>75</v>
      </c>
      <c r="G99" s="38">
        <v>0</v>
      </c>
      <c r="H99" s="39"/>
      <c r="I99" s="40"/>
      <c r="J99" s="41">
        <v>0.215</v>
      </c>
      <c r="K99" s="467">
        <f t="shared" ref="K99" si="83">+IF(E99&lt;=0.12,(J101),(IF(E99&lt;0.16,((J100+2*J101+J102)/4),IF(E99&gt;=0.16,((J99+3*J100+2*J101+3*J102+J103)/10)))))</f>
        <v>1.0931999999999999</v>
      </c>
      <c r="L99" s="467">
        <f t="shared" ref="L99" si="84">ROUND(+(D94+D99)/2*(C99-C94),3)</f>
        <v>1.0289999999999999</v>
      </c>
      <c r="M99" s="467">
        <f>ROUND(+K99*L99,4)</f>
        <v>1.1249</v>
      </c>
      <c r="N99" s="470">
        <f t="shared" ref="N99" si="85">ROUND(+M99/$M$128*100,2)</f>
        <v>2.2599999999999998</v>
      </c>
      <c r="O99" s="471"/>
      <c r="P99" s="472"/>
      <c r="Q99" s="188"/>
      <c r="R99" s="191"/>
      <c r="T99" s="28"/>
      <c r="U99" s="28"/>
      <c r="V99" s="28"/>
      <c r="W99" s="28"/>
      <c r="X99" s="28"/>
    </row>
    <row r="100" spans="1:24" s="36" customFormat="1" ht="13.5" customHeight="1" x14ac:dyDescent="0.25">
      <c r="A100" s="28"/>
      <c r="B100" s="488"/>
      <c r="C100" s="468"/>
      <c r="D100" s="468"/>
      <c r="E100" s="468"/>
      <c r="F100" s="42" t="s">
        <v>76</v>
      </c>
      <c r="G100" s="43">
        <f t="shared" ref="G100" si="86">IF(E99&lt;0.125,"NA",IF(0.125&lt;=E99,(0.2*E99)))</f>
        <v>9.0000000000000011E-2</v>
      </c>
      <c r="H100" s="44"/>
      <c r="I100" s="45"/>
      <c r="J100" s="46">
        <v>0.85899999999999999</v>
      </c>
      <c r="K100" s="468"/>
      <c r="L100" s="468"/>
      <c r="M100" s="468"/>
      <c r="N100" s="468"/>
      <c r="O100" s="468"/>
      <c r="P100" s="473"/>
      <c r="Q100" s="188"/>
      <c r="R100" s="188"/>
      <c r="S100" s="188"/>
      <c r="T100" s="28"/>
      <c r="U100" s="28"/>
      <c r="V100" s="28"/>
      <c r="W100" s="28"/>
      <c r="X100" s="28"/>
    </row>
    <row r="101" spans="1:24" s="36" customFormat="1" ht="13.5" customHeight="1" x14ac:dyDescent="0.25">
      <c r="A101" s="28"/>
      <c r="B101" s="488"/>
      <c r="C101" s="468"/>
      <c r="D101" s="468"/>
      <c r="E101" s="468"/>
      <c r="F101" s="42" t="s">
        <v>77</v>
      </c>
      <c r="G101" s="43">
        <f t="shared" ref="G101" si="87">+E99*0.4</f>
        <v>0.18000000000000002</v>
      </c>
      <c r="H101" s="44"/>
      <c r="I101" s="45"/>
      <c r="J101" s="46">
        <v>1.224</v>
      </c>
      <c r="K101" s="468"/>
      <c r="L101" s="468"/>
      <c r="M101" s="468"/>
      <c r="N101" s="468"/>
      <c r="O101" s="468"/>
      <c r="P101" s="473"/>
      <c r="Q101" s="188"/>
      <c r="R101" s="191"/>
      <c r="S101" s="188"/>
      <c r="T101" s="28"/>
      <c r="U101" s="28"/>
      <c r="V101" s="28"/>
      <c r="W101" s="28"/>
      <c r="X101" s="28"/>
    </row>
    <row r="102" spans="1:24" s="36" customFormat="1" ht="13.5" customHeight="1" x14ac:dyDescent="0.25">
      <c r="A102" s="28"/>
      <c r="B102" s="488"/>
      <c r="C102" s="468"/>
      <c r="D102" s="468"/>
      <c r="E102" s="468"/>
      <c r="F102" s="42" t="s">
        <v>78</v>
      </c>
      <c r="G102" s="43">
        <f t="shared" ref="G102" si="88">IF(E99&lt;0.125,"NA",IF(0.125&lt;=E99,(0.8*E99)))</f>
        <v>0.36000000000000004</v>
      </c>
      <c r="H102" s="44"/>
      <c r="I102" s="45"/>
      <c r="J102" s="46">
        <v>1.421</v>
      </c>
      <c r="K102" s="468"/>
      <c r="L102" s="468"/>
      <c r="M102" s="468"/>
      <c r="N102" s="468"/>
      <c r="O102" s="468"/>
      <c r="P102" s="473"/>
      <c r="Q102" s="188"/>
      <c r="R102" s="188"/>
      <c r="S102" s="188"/>
      <c r="T102" s="28"/>
      <c r="U102" s="28"/>
      <c r="V102" s="28"/>
      <c r="W102" s="28"/>
      <c r="X102" s="28"/>
    </row>
    <row r="103" spans="1:24" s="36" customFormat="1" ht="13.5" customHeight="1" thickBot="1" x14ac:dyDescent="0.3">
      <c r="A103" s="28"/>
      <c r="B103" s="489"/>
      <c r="C103" s="469"/>
      <c r="D103" s="469"/>
      <c r="E103" s="469"/>
      <c r="F103" s="47" t="s">
        <v>79</v>
      </c>
      <c r="G103" s="48">
        <f t="shared" ref="G103" si="89">+E99</f>
        <v>0.45</v>
      </c>
      <c r="H103" s="49"/>
      <c r="I103" s="50"/>
      <c r="J103" s="51">
        <v>1.429</v>
      </c>
      <c r="K103" s="469"/>
      <c r="L103" s="469"/>
      <c r="M103" s="469"/>
      <c r="N103" s="469"/>
      <c r="O103" s="469"/>
      <c r="P103" s="474"/>
      <c r="Q103" s="188"/>
      <c r="R103" s="191"/>
      <c r="S103" s="188"/>
      <c r="T103" s="28"/>
      <c r="U103" s="28"/>
      <c r="V103" s="28"/>
      <c r="W103" s="28"/>
      <c r="X103" s="28"/>
    </row>
    <row r="104" spans="1:24" s="36" customFormat="1" ht="13.5" customHeight="1" x14ac:dyDescent="0.25">
      <c r="A104" s="28"/>
      <c r="B104" s="487">
        <v>18</v>
      </c>
      <c r="C104" s="490">
        <f>+C99+$N$12</f>
        <v>37.06</v>
      </c>
      <c r="D104" s="467">
        <v>0.42699999999999999</v>
      </c>
      <c r="E104" s="467">
        <v>0.42699999999999999</v>
      </c>
      <c r="F104" s="37" t="s">
        <v>75</v>
      </c>
      <c r="G104" s="38">
        <v>0</v>
      </c>
      <c r="H104" s="39"/>
      <c r="I104" s="40"/>
      <c r="J104" s="41">
        <v>0.08</v>
      </c>
      <c r="K104" s="467">
        <f t="shared" ref="K104" si="90">+IF(E104&lt;=0.12,(J106),(IF(E104&lt;0.16,((J105+2*J106+J107)/4),IF(E104&gt;=0.16,((J104+3*J105+2*J106+3*J107+J108)/10)))))</f>
        <v>0.11332</v>
      </c>
      <c r="L104" s="467">
        <f>ROUND(+(D99+D104)/2*(C104-C99),3)</f>
        <v>0.85399999999999998</v>
      </c>
      <c r="M104" s="467">
        <f>ROUND(+K104*L104,4)</f>
        <v>9.6799999999999997E-2</v>
      </c>
      <c r="N104" s="470">
        <f t="shared" ref="N104" si="91">ROUND(+M104/$M$128*100,2)</f>
        <v>0.19</v>
      </c>
      <c r="O104" s="471"/>
      <c r="P104" s="472"/>
      <c r="Q104" s="188"/>
      <c r="R104" s="191"/>
      <c r="T104" s="28"/>
      <c r="U104" s="28"/>
      <c r="V104" s="28"/>
      <c r="W104" s="28"/>
      <c r="X104" s="28"/>
    </row>
    <row r="105" spans="1:24" s="36" customFormat="1" ht="13.5" customHeight="1" x14ac:dyDescent="0.25">
      <c r="A105" s="28"/>
      <c r="B105" s="488"/>
      <c r="C105" s="468"/>
      <c r="D105" s="468"/>
      <c r="E105" s="468"/>
      <c r="F105" s="42" t="s">
        <v>76</v>
      </c>
      <c r="G105" s="43">
        <f t="shared" ref="G105" si="92">IF(E104&lt;0.125,"NA",IF(0.125&lt;=E104,(0.2*E104)))</f>
        <v>8.5400000000000004E-2</v>
      </c>
      <c r="H105" s="44"/>
      <c r="I105" s="45"/>
      <c r="J105" s="46">
        <v>1.24E-2</v>
      </c>
      <c r="K105" s="468"/>
      <c r="L105" s="468"/>
      <c r="M105" s="468"/>
      <c r="N105" s="468"/>
      <c r="O105" s="468"/>
      <c r="P105" s="473"/>
      <c r="Q105" s="188"/>
      <c r="R105" s="188"/>
      <c r="S105" s="188"/>
      <c r="T105" s="28"/>
      <c r="U105" s="28"/>
      <c r="V105" s="28"/>
      <c r="W105" s="28"/>
      <c r="X105" s="28"/>
    </row>
    <row r="106" spans="1:24" s="36" customFormat="1" ht="13.5" customHeight="1" x14ac:dyDescent="0.25">
      <c r="A106" s="28"/>
      <c r="B106" s="488"/>
      <c r="C106" s="468"/>
      <c r="D106" s="468"/>
      <c r="E106" s="468"/>
      <c r="F106" s="42" t="s">
        <v>77</v>
      </c>
      <c r="G106" s="43">
        <f t="shared" ref="G106" si="93">+E104*0.4</f>
        <v>0.17080000000000001</v>
      </c>
      <c r="H106" s="44"/>
      <c r="I106" s="45"/>
      <c r="J106" s="46">
        <v>0.16500000000000001</v>
      </c>
      <c r="K106" s="468"/>
      <c r="L106" s="468"/>
      <c r="M106" s="468"/>
      <c r="N106" s="468"/>
      <c r="O106" s="468"/>
      <c r="P106" s="473"/>
      <c r="Q106" s="188"/>
      <c r="R106" s="191"/>
      <c r="S106" s="188"/>
      <c r="T106" s="28"/>
      <c r="U106" s="28"/>
      <c r="V106" s="28"/>
      <c r="W106" s="28"/>
      <c r="X106" s="28"/>
    </row>
    <row r="107" spans="1:24" s="36" customFormat="1" ht="13.5" customHeight="1" x14ac:dyDescent="0.25">
      <c r="A107" s="28"/>
      <c r="B107" s="488"/>
      <c r="C107" s="468"/>
      <c r="D107" s="468"/>
      <c r="E107" s="468"/>
      <c r="F107" s="42" t="s">
        <v>78</v>
      </c>
      <c r="G107" s="43">
        <f t="shared" ref="G107" si="94">IF(E104&lt;0.125,"NA",IF(0.125&lt;=E104,(0.8*E104)))</f>
        <v>0.34160000000000001</v>
      </c>
      <c r="H107" s="44"/>
      <c r="I107" s="45"/>
      <c r="J107" s="46">
        <v>0.17</v>
      </c>
      <c r="K107" s="468"/>
      <c r="L107" s="468"/>
      <c r="M107" s="468"/>
      <c r="N107" s="468"/>
      <c r="O107" s="468"/>
      <c r="P107" s="473"/>
      <c r="Q107" s="188"/>
      <c r="R107" s="188"/>
      <c r="S107" s="188"/>
      <c r="T107" s="28"/>
      <c r="U107" s="28"/>
      <c r="V107" s="28"/>
      <c r="W107" s="28"/>
      <c r="X107" s="28"/>
    </row>
    <row r="108" spans="1:24" s="36" customFormat="1" ht="13.5" customHeight="1" thickBot="1" x14ac:dyDescent="0.3">
      <c r="A108" s="28"/>
      <c r="B108" s="489"/>
      <c r="C108" s="469"/>
      <c r="D108" s="469"/>
      <c r="E108" s="469"/>
      <c r="F108" s="47" t="s">
        <v>79</v>
      </c>
      <c r="G108" s="48">
        <f t="shared" ref="G108" si="95">+E104</f>
        <v>0.42699999999999999</v>
      </c>
      <c r="H108" s="49"/>
      <c r="I108" s="50"/>
      <c r="J108" s="51">
        <v>0.17599999999999999</v>
      </c>
      <c r="K108" s="469"/>
      <c r="L108" s="469"/>
      <c r="M108" s="469"/>
      <c r="N108" s="469"/>
      <c r="O108" s="469"/>
      <c r="P108" s="474"/>
      <c r="Q108" s="188"/>
      <c r="R108" s="191"/>
      <c r="S108" s="188"/>
      <c r="T108" s="28"/>
      <c r="U108" s="28"/>
      <c r="V108" s="28"/>
      <c r="W108" s="28"/>
      <c r="X108" s="28"/>
    </row>
    <row r="109" spans="1:24" s="3" customFormat="1" ht="13.5" customHeight="1" x14ac:dyDescent="0.25">
      <c r="B109" s="475" t="s">
        <v>28</v>
      </c>
      <c r="C109" s="478"/>
      <c r="D109" s="479"/>
      <c r="E109" s="479"/>
      <c r="F109" s="479"/>
      <c r="G109" s="479"/>
      <c r="H109" s="479"/>
      <c r="I109" s="479"/>
      <c r="J109" s="479"/>
      <c r="K109" s="479"/>
      <c r="L109" s="479"/>
      <c r="M109" s="479"/>
      <c r="N109" s="479"/>
      <c r="O109" s="479"/>
      <c r="P109" s="480"/>
      <c r="Q109" s="188"/>
      <c r="R109"/>
    </row>
    <row r="110" spans="1:24" s="3" customFormat="1" ht="14.1" customHeight="1" x14ac:dyDescent="0.25">
      <c r="B110" s="476"/>
      <c r="C110" s="481"/>
      <c r="D110" s="482"/>
      <c r="E110" s="482"/>
      <c r="F110" s="482"/>
      <c r="G110" s="482"/>
      <c r="H110" s="482"/>
      <c r="I110" s="482"/>
      <c r="J110" s="482"/>
      <c r="K110" s="482"/>
      <c r="L110" s="482"/>
      <c r="M110" s="482"/>
      <c r="N110" s="482"/>
      <c r="O110" s="482"/>
      <c r="P110" s="483"/>
      <c r="Q110" s="188"/>
      <c r="R110"/>
    </row>
    <row r="111" spans="1:24" s="3" customFormat="1" ht="14.1" customHeight="1" x14ac:dyDescent="0.25">
      <c r="B111" s="476"/>
      <c r="C111" s="481"/>
      <c r="D111" s="482"/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3"/>
      <c r="Q111" s="188"/>
      <c r="R111"/>
    </row>
    <row r="112" spans="1:24" s="3" customFormat="1" ht="14.1" customHeight="1" x14ac:dyDescent="0.25">
      <c r="B112" s="476"/>
      <c r="C112" s="481"/>
      <c r="D112" s="482"/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3"/>
      <c r="Q112" s="188"/>
      <c r="R112"/>
    </row>
    <row r="113" spans="1:24" s="3" customFormat="1" ht="14.1" customHeight="1" x14ac:dyDescent="0.25">
      <c r="B113" s="476"/>
      <c r="C113" s="481"/>
      <c r="D113" s="482"/>
      <c r="E113" s="482"/>
      <c r="F113" s="482"/>
      <c r="G113" s="482"/>
      <c r="H113" s="482"/>
      <c r="I113" s="482"/>
      <c r="J113" s="482"/>
      <c r="K113" s="482"/>
      <c r="L113" s="482"/>
      <c r="M113" s="482"/>
      <c r="N113" s="482"/>
      <c r="O113" s="482"/>
      <c r="P113" s="483"/>
      <c r="Q113" s="188"/>
      <c r="R113"/>
    </row>
    <row r="114" spans="1:24" s="3" customFormat="1" ht="14.1" customHeight="1" thickBot="1" x14ac:dyDescent="0.3">
      <c r="B114" s="477"/>
      <c r="C114" s="484"/>
      <c r="D114" s="485"/>
      <c r="E114" s="485"/>
      <c r="F114" s="485"/>
      <c r="G114" s="485"/>
      <c r="H114" s="485"/>
      <c r="I114" s="485"/>
      <c r="J114" s="485"/>
      <c r="K114" s="485"/>
      <c r="L114" s="485"/>
      <c r="M114" s="485"/>
      <c r="N114" s="485"/>
      <c r="O114" s="485"/>
      <c r="P114" s="486"/>
      <c r="Q114" s="188"/>
      <c r="R114"/>
    </row>
    <row r="115" spans="1:24" s="3" customFormat="1" ht="28.5" customHeight="1" thickBot="1" x14ac:dyDescent="0.25">
      <c r="A115" s="52"/>
      <c r="B115" s="53" t="s">
        <v>80</v>
      </c>
      <c r="C115" s="454" t="s">
        <v>81</v>
      </c>
      <c r="D115" s="454"/>
      <c r="E115" s="454"/>
      <c r="F115" s="454"/>
      <c r="G115" s="454"/>
      <c r="H115" s="455"/>
      <c r="I115" s="456"/>
      <c r="J115" s="53" t="s">
        <v>82</v>
      </c>
      <c r="K115" s="454" t="s">
        <v>83</v>
      </c>
      <c r="L115" s="454"/>
      <c r="M115" s="454"/>
      <c r="N115" s="454"/>
      <c r="O115" s="454"/>
      <c r="P115" s="455"/>
    </row>
    <row r="116" spans="1:24" s="3" customFormat="1" ht="28.5" customHeight="1" thickBot="1" x14ac:dyDescent="0.25">
      <c r="B116" s="54" t="s">
        <v>84</v>
      </c>
      <c r="C116" s="458" t="s">
        <v>85</v>
      </c>
      <c r="D116" s="458"/>
      <c r="E116" s="458"/>
      <c r="F116" s="458"/>
      <c r="G116" s="458"/>
      <c r="H116" s="459"/>
      <c r="I116" s="457"/>
      <c r="J116" s="54" t="s">
        <v>86</v>
      </c>
      <c r="K116" s="458" t="s">
        <v>87</v>
      </c>
      <c r="L116" s="458"/>
      <c r="M116" s="458"/>
      <c r="N116" s="458"/>
      <c r="O116" s="458"/>
      <c r="P116" s="459"/>
    </row>
    <row r="117" spans="1:24" s="16" customFormat="1" ht="13.5" customHeight="1" x14ac:dyDescent="0.25">
      <c r="A117" s="55"/>
      <c r="B117" s="460"/>
      <c r="C117" s="463"/>
      <c r="D117" s="465"/>
      <c r="E117" s="465"/>
      <c r="F117" s="56" t="s">
        <v>75</v>
      </c>
      <c r="G117" s="56"/>
      <c r="H117" s="57"/>
      <c r="I117" s="58"/>
      <c r="J117" s="59"/>
      <c r="K117" s="466"/>
      <c r="L117" s="445"/>
      <c r="M117" s="448"/>
      <c r="N117" s="589"/>
      <c r="O117" s="445"/>
      <c r="P117" s="449"/>
      <c r="Q117" s="188"/>
      <c r="R117"/>
      <c r="S117" s="60"/>
      <c r="T117" s="60"/>
      <c r="U117" s="60"/>
      <c r="V117" s="60"/>
      <c r="W117" s="60"/>
      <c r="X117" s="60"/>
    </row>
    <row r="118" spans="1:24" s="16" customFormat="1" ht="13.5" customHeight="1" x14ac:dyDescent="0.25">
      <c r="A118" s="55"/>
      <c r="B118" s="461"/>
      <c r="C118" s="446"/>
      <c r="D118" s="446"/>
      <c r="E118" s="446"/>
      <c r="F118" s="61" t="s">
        <v>88</v>
      </c>
      <c r="G118" s="62"/>
      <c r="H118" s="63"/>
      <c r="I118" s="64"/>
      <c r="J118" s="65"/>
      <c r="K118" s="446"/>
      <c r="L118" s="446"/>
      <c r="M118" s="446"/>
      <c r="N118" s="590"/>
      <c r="O118" s="446"/>
      <c r="P118" s="450"/>
      <c r="Q118" s="188"/>
      <c r="R118"/>
      <c r="S118" s="60"/>
      <c r="T118" s="60"/>
      <c r="U118" s="60"/>
      <c r="V118" s="60"/>
      <c r="W118" s="60"/>
      <c r="X118" s="60"/>
    </row>
    <row r="119" spans="1:24" s="16" customFormat="1" ht="13.5" customHeight="1" x14ac:dyDescent="0.25">
      <c r="A119" s="55"/>
      <c r="B119" s="461"/>
      <c r="C119" s="446"/>
      <c r="D119" s="446"/>
      <c r="E119" s="446"/>
      <c r="F119" s="61" t="s">
        <v>89</v>
      </c>
      <c r="G119" s="62"/>
      <c r="H119" s="63"/>
      <c r="I119" s="64"/>
      <c r="J119" s="65"/>
      <c r="K119" s="446"/>
      <c r="L119" s="446"/>
      <c r="M119" s="446"/>
      <c r="N119" s="590"/>
      <c r="O119" s="446"/>
      <c r="P119" s="450"/>
      <c r="Q119" s="188"/>
      <c r="R119"/>
      <c r="S119" s="60"/>
      <c r="T119" s="60"/>
      <c r="U119" s="60"/>
      <c r="V119" s="60"/>
      <c r="W119" s="60"/>
      <c r="X119" s="60"/>
    </row>
    <row r="120" spans="1:24" s="16" customFormat="1" ht="13.5" customHeight="1" x14ac:dyDescent="0.25">
      <c r="A120" s="55"/>
      <c r="B120" s="461"/>
      <c r="C120" s="446"/>
      <c r="D120" s="446"/>
      <c r="E120" s="446"/>
      <c r="F120" s="61" t="s">
        <v>90</v>
      </c>
      <c r="G120" s="62"/>
      <c r="H120" s="63"/>
      <c r="I120" s="64"/>
      <c r="J120" s="65"/>
      <c r="K120" s="446"/>
      <c r="L120" s="446"/>
      <c r="M120" s="446"/>
      <c r="N120" s="590"/>
      <c r="O120" s="446"/>
      <c r="P120" s="450"/>
      <c r="Q120" s="188"/>
      <c r="R120"/>
      <c r="S120" s="60"/>
      <c r="T120" s="60"/>
      <c r="U120" s="60"/>
      <c r="V120" s="60"/>
      <c r="W120" s="60"/>
      <c r="X120" s="60"/>
    </row>
    <row r="121" spans="1:24" s="16" customFormat="1" ht="13.5" customHeight="1" x14ac:dyDescent="0.25">
      <c r="A121" s="55"/>
      <c r="B121" s="461"/>
      <c r="C121" s="464"/>
      <c r="D121" s="464"/>
      <c r="E121" s="446"/>
      <c r="F121" s="61" t="s">
        <v>91</v>
      </c>
      <c r="G121" s="62"/>
      <c r="H121" s="63"/>
      <c r="I121" s="64"/>
      <c r="J121" s="65"/>
      <c r="K121" s="446"/>
      <c r="L121" s="446"/>
      <c r="M121" s="446"/>
      <c r="N121" s="590"/>
      <c r="O121" s="446"/>
      <c r="P121" s="450"/>
      <c r="Q121" s="188"/>
      <c r="R121"/>
      <c r="S121" s="60"/>
      <c r="T121" s="60"/>
      <c r="U121" s="60"/>
      <c r="V121" s="60"/>
      <c r="W121" s="60"/>
      <c r="X121" s="60"/>
    </row>
    <row r="122" spans="1:24" s="16" customFormat="1" ht="13.5" customHeight="1" x14ac:dyDescent="0.25">
      <c r="A122" s="55"/>
      <c r="B122" s="461"/>
      <c r="C122" s="452"/>
      <c r="D122" s="453"/>
      <c r="E122" s="446"/>
      <c r="F122" s="61" t="s">
        <v>29</v>
      </c>
      <c r="G122" s="62"/>
      <c r="H122" s="63"/>
      <c r="I122" s="64"/>
      <c r="J122" s="65"/>
      <c r="K122" s="446"/>
      <c r="L122" s="446"/>
      <c r="M122" s="446"/>
      <c r="N122" s="590"/>
      <c r="O122" s="446"/>
      <c r="P122" s="450"/>
      <c r="Q122" s="188"/>
      <c r="R122"/>
      <c r="S122" s="60"/>
      <c r="T122" s="60"/>
      <c r="U122" s="60"/>
      <c r="V122" s="60"/>
      <c r="W122" s="60"/>
      <c r="X122" s="60"/>
    </row>
    <row r="123" spans="1:24" s="16" customFormat="1" ht="13.5" customHeight="1" x14ac:dyDescent="0.25">
      <c r="A123" s="55"/>
      <c r="B123" s="461"/>
      <c r="C123" s="446"/>
      <c r="D123" s="446"/>
      <c r="E123" s="446"/>
      <c r="F123" s="61" t="s">
        <v>92</v>
      </c>
      <c r="G123" s="62"/>
      <c r="H123" s="63"/>
      <c r="I123" s="64"/>
      <c r="J123" s="65"/>
      <c r="K123" s="446"/>
      <c r="L123" s="446"/>
      <c r="M123" s="446"/>
      <c r="N123" s="590"/>
      <c r="O123" s="446"/>
      <c r="P123" s="450"/>
      <c r="Q123" s="188"/>
      <c r="R123"/>
      <c r="S123" s="60"/>
      <c r="T123" s="60"/>
      <c r="U123" s="60"/>
      <c r="V123" s="60"/>
      <c r="W123" s="60"/>
      <c r="X123" s="60"/>
    </row>
    <row r="124" spans="1:24" s="16" customFormat="1" ht="13.5" customHeight="1" x14ac:dyDescent="0.25">
      <c r="A124" s="55"/>
      <c r="B124" s="461"/>
      <c r="C124" s="446"/>
      <c r="D124" s="446"/>
      <c r="E124" s="446"/>
      <c r="F124" s="61" t="s">
        <v>93</v>
      </c>
      <c r="G124" s="62"/>
      <c r="H124" s="63"/>
      <c r="I124" s="64"/>
      <c r="J124" s="65"/>
      <c r="K124" s="446"/>
      <c r="L124" s="446"/>
      <c r="M124" s="446"/>
      <c r="N124" s="590"/>
      <c r="O124" s="446"/>
      <c r="P124" s="450"/>
      <c r="Q124" s="188"/>
      <c r="R124"/>
      <c r="S124" s="60"/>
      <c r="T124" s="60"/>
      <c r="U124" s="60"/>
      <c r="V124" s="60"/>
      <c r="W124" s="60"/>
      <c r="X124" s="60"/>
    </row>
    <row r="125" spans="1:24" s="16" customFormat="1" ht="13.5" customHeight="1" x14ac:dyDescent="0.25">
      <c r="A125" s="55"/>
      <c r="B125" s="461"/>
      <c r="C125" s="446"/>
      <c r="D125" s="446"/>
      <c r="E125" s="446"/>
      <c r="F125" s="61" t="s">
        <v>94</v>
      </c>
      <c r="G125" s="62"/>
      <c r="H125" s="63"/>
      <c r="I125" s="64"/>
      <c r="J125" s="65"/>
      <c r="K125" s="446"/>
      <c r="L125" s="446"/>
      <c r="M125" s="446"/>
      <c r="N125" s="590"/>
      <c r="O125" s="446"/>
      <c r="P125" s="450"/>
      <c r="Q125" s="188"/>
      <c r="R125"/>
      <c r="S125" s="60"/>
      <c r="T125" s="60"/>
      <c r="U125" s="60"/>
      <c r="V125" s="60"/>
      <c r="W125" s="60"/>
      <c r="X125" s="60"/>
    </row>
    <row r="126" spans="1:24" s="16" customFormat="1" ht="13.5" customHeight="1" x14ac:dyDescent="0.25">
      <c r="A126" s="55"/>
      <c r="B126" s="461"/>
      <c r="C126" s="446"/>
      <c r="D126" s="446"/>
      <c r="E126" s="446"/>
      <c r="F126" s="61" t="s">
        <v>95</v>
      </c>
      <c r="G126" s="62"/>
      <c r="H126" s="63"/>
      <c r="I126" s="64"/>
      <c r="J126" s="65"/>
      <c r="K126" s="446"/>
      <c r="L126" s="446"/>
      <c r="M126" s="446"/>
      <c r="N126" s="590"/>
      <c r="O126" s="446"/>
      <c r="P126" s="450"/>
      <c r="Q126" s="188"/>
      <c r="R126"/>
      <c r="S126" s="60"/>
      <c r="T126" s="60"/>
      <c r="U126" s="60"/>
      <c r="V126" s="60"/>
      <c r="W126" s="60"/>
      <c r="X126" s="60"/>
    </row>
    <row r="127" spans="1:24" s="16" customFormat="1" ht="15.75" thickBot="1" x14ac:dyDescent="0.3">
      <c r="A127" s="55"/>
      <c r="B127" s="462"/>
      <c r="C127" s="447"/>
      <c r="D127" s="447"/>
      <c r="E127" s="447"/>
      <c r="F127" s="66" t="s">
        <v>30</v>
      </c>
      <c r="G127" s="66"/>
      <c r="H127" s="67"/>
      <c r="I127" s="68"/>
      <c r="J127" s="192"/>
      <c r="K127" s="447"/>
      <c r="L127" s="447"/>
      <c r="M127" s="447"/>
      <c r="N127" s="591"/>
      <c r="O127" s="447"/>
      <c r="P127" s="451"/>
      <c r="Q127" s="188"/>
      <c r="R127"/>
      <c r="S127" s="60"/>
      <c r="T127" s="60"/>
      <c r="U127" s="60"/>
      <c r="V127" s="60"/>
      <c r="W127" s="60"/>
      <c r="X127" s="60"/>
    </row>
    <row r="128" spans="1:24" s="3" customFormat="1" ht="12.75" x14ac:dyDescent="0.2">
      <c r="A128" s="8"/>
      <c r="B128" s="432"/>
      <c r="C128" s="433"/>
      <c r="D128" s="433"/>
      <c r="E128" s="433"/>
      <c r="F128" s="433"/>
      <c r="G128" s="433"/>
      <c r="H128" s="433"/>
      <c r="I128" s="433"/>
      <c r="J128" s="433"/>
      <c r="K128" s="13">
        <f>ROUND(+M128/L128,3)</f>
        <v>0.91400000000000003</v>
      </c>
      <c r="L128" s="12">
        <f>SUM(L19:L127)</f>
        <v>54.425999999999988</v>
      </c>
      <c r="M128" s="11">
        <f>SUM(M19:M127)</f>
        <v>49.747</v>
      </c>
      <c r="N128" s="9">
        <f>ROUND(SUM(N19:N127),0)</f>
        <v>100</v>
      </c>
      <c r="O128" s="436" t="s">
        <v>31</v>
      </c>
      <c r="P128" s="438"/>
    </row>
    <row r="129" spans="1:16" s="3" customFormat="1" ht="15" customHeight="1" thickBot="1" x14ac:dyDescent="0.25">
      <c r="A129" s="8"/>
      <c r="B129" s="434"/>
      <c r="C129" s="435"/>
      <c r="D129" s="435"/>
      <c r="E129" s="435"/>
      <c r="F129" s="435"/>
      <c r="G129" s="435"/>
      <c r="H129" s="435"/>
      <c r="I129" s="435"/>
      <c r="J129" s="435"/>
      <c r="K129" s="10" t="s">
        <v>32</v>
      </c>
      <c r="L129" s="10" t="s">
        <v>48</v>
      </c>
      <c r="M129" s="10" t="s">
        <v>101</v>
      </c>
      <c r="N129" s="10" t="s">
        <v>33</v>
      </c>
      <c r="O129" s="437"/>
      <c r="P129" s="439"/>
    </row>
    <row r="130" spans="1:16" s="16" customFormat="1" ht="15.75" thickBot="1" x14ac:dyDescent="0.3">
      <c r="A130" s="15"/>
      <c r="B130" s="440" t="s">
        <v>96</v>
      </c>
      <c r="C130" s="441"/>
      <c r="D130" s="441"/>
      <c r="E130" s="441"/>
      <c r="F130" s="442"/>
      <c r="G130" s="440" t="s">
        <v>97</v>
      </c>
      <c r="H130" s="441"/>
      <c r="I130" s="441"/>
      <c r="J130" s="441"/>
      <c r="K130" s="442"/>
      <c r="L130" s="443" t="s">
        <v>49</v>
      </c>
      <c r="M130" s="441"/>
      <c r="N130" s="441"/>
      <c r="O130" s="441"/>
      <c r="P130" s="444"/>
    </row>
    <row r="131" spans="1:16" s="16" customFormat="1" x14ac:dyDescent="0.25">
      <c r="A131" s="15"/>
      <c r="B131" s="402"/>
      <c r="C131" s="403"/>
      <c r="D131" s="403"/>
      <c r="E131" s="403"/>
      <c r="F131" s="404"/>
      <c r="G131" s="402"/>
      <c r="H131" s="403"/>
      <c r="I131" s="403"/>
      <c r="J131" s="403"/>
      <c r="K131" s="404"/>
      <c r="L131" s="411" t="s">
        <v>98</v>
      </c>
      <c r="M131" s="412"/>
      <c r="N131" s="412"/>
      <c r="O131" s="413">
        <f>+AVERAGE(E18:E103)</f>
        <v>1.5858823529411763</v>
      </c>
      <c r="P131" s="414"/>
    </row>
    <row r="132" spans="1:16" s="16" customFormat="1" ht="15.75" thickBot="1" x14ac:dyDescent="0.3">
      <c r="A132" s="15"/>
      <c r="B132" s="405"/>
      <c r="C132" s="406"/>
      <c r="D132" s="406"/>
      <c r="E132" s="406"/>
      <c r="F132" s="407"/>
      <c r="G132" s="405"/>
      <c r="H132" s="406"/>
      <c r="I132" s="406"/>
      <c r="J132" s="406"/>
      <c r="K132" s="407"/>
      <c r="L132" s="415" t="s">
        <v>99</v>
      </c>
      <c r="M132" s="416"/>
      <c r="N132" s="416"/>
      <c r="O132" s="417">
        <f>MAX(E18:E103)</f>
        <v>2.2829999999999999</v>
      </c>
      <c r="P132" s="418"/>
    </row>
    <row r="133" spans="1:16" s="16" customFormat="1" ht="18" customHeight="1" x14ac:dyDescent="0.25">
      <c r="A133" s="189"/>
      <c r="B133" s="405"/>
      <c r="C133" s="406"/>
      <c r="D133" s="406"/>
      <c r="E133" s="406"/>
      <c r="F133" s="407"/>
      <c r="G133" s="405"/>
      <c r="H133" s="406"/>
      <c r="I133" s="406"/>
      <c r="J133" s="406"/>
      <c r="K133" s="407"/>
      <c r="L133" s="419" t="s">
        <v>141</v>
      </c>
      <c r="M133" s="420"/>
      <c r="N133" s="420"/>
      <c r="O133" s="420"/>
      <c r="P133" s="421"/>
    </row>
    <row r="134" spans="1:16" s="16" customFormat="1" ht="87.75" customHeight="1" x14ac:dyDescent="0.25">
      <c r="A134" s="15"/>
      <c r="B134" s="405"/>
      <c r="C134" s="406"/>
      <c r="D134" s="406"/>
      <c r="E134" s="406"/>
      <c r="F134" s="407"/>
      <c r="G134" s="405"/>
      <c r="H134" s="406"/>
      <c r="I134" s="406"/>
      <c r="J134" s="406"/>
      <c r="K134" s="407"/>
      <c r="L134" s="422"/>
      <c r="M134" s="423"/>
      <c r="N134" s="423"/>
      <c r="O134" s="423"/>
      <c r="P134" s="424"/>
    </row>
    <row r="135" spans="1:16" s="16" customFormat="1" ht="15.75" thickBot="1" x14ac:dyDescent="0.3">
      <c r="A135" s="15"/>
      <c r="B135" s="405"/>
      <c r="C135" s="406"/>
      <c r="D135" s="406"/>
      <c r="E135" s="406"/>
      <c r="F135" s="407"/>
      <c r="G135" s="405"/>
      <c r="H135" s="406"/>
      <c r="I135" s="406"/>
      <c r="J135" s="406"/>
      <c r="K135" s="407"/>
      <c r="L135" s="425"/>
      <c r="M135" s="426"/>
      <c r="N135" s="426"/>
      <c r="O135" s="426"/>
      <c r="P135" s="427"/>
    </row>
    <row r="136" spans="1:16" s="16" customFormat="1" ht="15.75" customHeight="1" thickBot="1" x14ac:dyDescent="0.3">
      <c r="A136" s="15"/>
      <c r="B136" s="405"/>
      <c r="C136" s="406"/>
      <c r="D136" s="406"/>
      <c r="E136" s="406"/>
      <c r="F136" s="407"/>
      <c r="G136" s="405"/>
      <c r="H136" s="406"/>
      <c r="I136" s="406"/>
      <c r="J136" s="406"/>
      <c r="K136" s="407"/>
      <c r="L136" s="428" t="s">
        <v>34</v>
      </c>
      <c r="M136" s="429"/>
      <c r="N136" s="429"/>
      <c r="O136" s="429"/>
      <c r="P136" s="93">
        <v>3.26</v>
      </c>
    </row>
    <row r="137" spans="1:16" s="16" customFormat="1" ht="14.25" customHeight="1" thickBot="1" x14ac:dyDescent="0.3">
      <c r="A137" s="15"/>
      <c r="B137" s="408"/>
      <c r="C137" s="409"/>
      <c r="D137" s="409"/>
      <c r="E137" s="409"/>
      <c r="F137" s="410"/>
      <c r="G137" s="408"/>
      <c r="H137" s="409"/>
      <c r="I137" s="409"/>
      <c r="J137" s="409"/>
      <c r="K137" s="410"/>
      <c r="L137" s="430" t="s">
        <v>107</v>
      </c>
      <c r="M137" s="431"/>
      <c r="N137" s="431"/>
      <c r="O137" s="431"/>
      <c r="P137" s="93">
        <v>2.0110000000000001</v>
      </c>
    </row>
    <row r="138" spans="1:16" ht="23.45" customHeight="1" thickBot="1" x14ac:dyDescent="0.3">
      <c r="A138" s="5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</row>
    <row r="139" spans="1:16" ht="15.75" thickBot="1" x14ac:dyDescent="0.3">
      <c r="A139" s="391" t="s">
        <v>35</v>
      </c>
      <c r="B139" s="392"/>
      <c r="C139" s="392"/>
      <c r="D139" s="392"/>
      <c r="E139" s="392"/>
      <c r="F139" s="392"/>
      <c r="G139" s="392"/>
      <c r="H139" s="392"/>
      <c r="I139" s="392"/>
      <c r="J139" s="392"/>
      <c r="K139" s="392"/>
      <c r="L139" s="392"/>
      <c r="M139" s="392"/>
      <c r="N139" s="392"/>
      <c r="O139" s="392"/>
      <c r="P139" s="393"/>
    </row>
    <row r="140" spans="1:16" ht="159" customHeight="1" thickBot="1" x14ac:dyDescent="0.3">
      <c r="A140" s="4"/>
      <c r="B140" s="394"/>
      <c r="C140" s="395"/>
      <c r="D140" s="395"/>
      <c r="E140" s="395"/>
      <c r="F140" s="396"/>
      <c r="G140" s="394"/>
      <c r="H140" s="395"/>
      <c r="I140" s="395"/>
      <c r="J140" s="395"/>
      <c r="K140" s="396"/>
      <c r="L140" s="394"/>
      <c r="M140" s="395"/>
      <c r="N140" s="395"/>
      <c r="O140" s="395"/>
      <c r="P140" s="397"/>
    </row>
    <row r="141" spans="1:16" ht="21.75" customHeight="1" thickBot="1" x14ac:dyDescent="0.3">
      <c r="A141" s="4"/>
      <c r="B141" s="583" t="s">
        <v>102</v>
      </c>
      <c r="C141" s="584"/>
      <c r="D141" s="584"/>
      <c r="E141" s="584"/>
      <c r="F141" s="585"/>
      <c r="G141" s="586" t="s">
        <v>103</v>
      </c>
      <c r="H141" s="587"/>
      <c r="I141" s="587"/>
      <c r="J141" s="587"/>
      <c r="K141" s="587"/>
      <c r="L141" s="587"/>
      <c r="M141" s="587"/>
      <c r="N141" s="587"/>
      <c r="O141" s="587"/>
      <c r="P141" s="588"/>
    </row>
    <row r="142" spans="1:16" s="7" customFormat="1" ht="16.899999999999999" customHeight="1" thickBot="1" x14ac:dyDescent="0.3">
      <c r="A142" s="6"/>
      <c r="B142" s="385"/>
      <c r="C142" s="385"/>
      <c r="D142" s="385"/>
      <c r="E142" s="385"/>
      <c r="F142" s="385"/>
      <c r="G142" s="385"/>
      <c r="H142" s="385"/>
      <c r="I142" s="385"/>
      <c r="J142" s="385"/>
      <c r="K142" s="385"/>
      <c r="L142" s="385"/>
      <c r="M142" s="385"/>
      <c r="N142" s="385"/>
      <c r="O142" s="385"/>
      <c r="P142" s="386"/>
    </row>
    <row r="143" spans="1:16" s="3" customFormat="1" ht="15.75" customHeight="1" thickBot="1" x14ac:dyDescent="0.25">
      <c r="A143" s="387" t="s">
        <v>36</v>
      </c>
      <c r="B143" s="388"/>
      <c r="C143" s="388"/>
      <c r="D143" s="388"/>
      <c r="E143" s="388"/>
      <c r="F143" s="388"/>
      <c r="G143" s="388"/>
      <c r="H143" s="388"/>
      <c r="I143" s="388"/>
      <c r="J143" s="388" t="s">
        <v>37</v>
      </c>
      <c r="K143" s="388"/>
      <c r="L143" s="388"/>
      <c r="M143" s="388"/>
      <c r="N143" s="388"/>
      <c r="O143" s="388"/>
      <c r="P143" s="389"/>
    </row>
  </sheetData>
  <mergeCells count="28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F141"/>
    <mergeCell ref="G141:P14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83"/>
  <sheetViews>
    <sheetView view="pageBreakPreview" zoomScaleSheetLayoutView="100" zoomScalePageLayoutView="110" workbookViewId="0">
      <selection activeCell="A6" sqref="A6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3" ht="4.9000000000000004" customHeight="1" thickBot="1" x14ac:dyDescent="0.3">
      <c r="J1" s="14"/>
    </row>
    <row r="2" spans="1:23" s="2" customFormat="1" ht="30" customHeight="1" x14ac:dyDescent="0.25">
      <c r="A2" s="186"/>
      <c r="B2" s="634"/>
      <c r="C2" s="635"/>
      <c r="D2" s="636"/>
      <c r="E2" s="571" t="s">
        <v>147</v>
      </c>
      <c r="F2" s="572"/>
      <c r="G2" s="572"/>
      <c r="H2" s="572"/>
      <c r="I2" s="572"/>
      <c r="J2" s="572"/>
      <c r="K2" s="572"/>
      <c r="L2" s="572"/>
      <c r="M2" s="572"/>
      <c r="N2" s="572"/>
      <c r="O2" s="637"/>
      <c r="P2" s="575"/>
    </row>
    <row r="3" spans="1:23" s="2" customFormat="1" ht="25.5" customHeight="1" thickBot="1" x14ac:dyDescent="0.3">
      <c r="A3" s="186"/>
      <c r="B3" s="638"/>
      <c r="C3" s="639"/>
      <c r="D3" s="640"/>
      <c r="E3" s="573"/>
      <c r="F3" s="574"/>
      <c r="G3" s="574"/>
      <c r="H3" s="574"/>
      <c r="I3" s="574"/>
      <c r="J3" s="574"/>
      <c r="K3" s="574"/>
      <c r="L3" s="574"/>
      <c r="M3" s="574"/>
      <c r="N3" s="574"/>
      <c r="O3" s="641"/>
      <c r="P3" s="576"/>
    </row>
    <row r="4" spans="1:23" s="16" customFormat="1" ht="11.25" customHeight="1" thickBot="1" x14ac:dyDescent="0.3">
      <c r="A4" s="15"/>
      <c r="B4" s="577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2"/>
      <c r="P4" s="502"/>
      <c r="Q4" s="2"/>
      <c r="R4" s="2"/>
      <c r="S4" s="2"/>
      <c r="T4" s="2"/>
      <c r="U4" s="2"/>
      <c r="V4" s="2"/>
      <c r="W4" s="2"/>
    </row>
    <row r="5" spans="1:23" s="19" customFormat="1" ht="31.5" customHeight="1" thickBot="1" x14ac:dyDescent="0.3">
      <c r="A5" s="17"/>
      <c r="B5" s="72" t="s">
        <v>0</v>
      </c>
      <c r="C5" s="578">
        <v>43161</v>
      </c>
      <c r="D5" s="579"/>
      <c r="E5" s="73" t="s">
        <v>50</v>
      </c>
      <c r="F5" s="74">
        <v>4</v>
      </c>
      <c r="G5" s="75" t="s">
        <v>1</v>
      </c>
      <c r="H5" s="580" t="s">
        <v>148</v>
      </c>
      <c r="I5" s="581"/>
      <c r="J5" s="581"/>
      <c r="K5" s="581"/>
      <c r="L5" s="581"/>
      <c r="M5" s="581"/>
      <c r="N5" s="581"/>
      <c r="O5" s="581"/>
      <c r="P5" s="582"/>
      <c r="Q5" s="18"/>
      <c r="R5" s="18"/>
      <c r="S5" s="18"/>
      <c r="T5" s="18"/>
      <c r="U5" s="18"/>
      <c r="V5" s="18"/>
      <c r="W5" s="18"/>
    </row>
    <row r="6" spans="1:23" s="80" customFormat="1" ht="21.75" customHeight="1" thickBot="1" x14ac:dyDescent="0.3">
      <c r="A6" s="76"/>
      <c r="B6" s="555" t="s">
        <v>2</v>
      </c>
      <c r="C6" s="556"/>
      <c r="D6" s="557" t="s">
        <v>142</v>
      </c>
      <c r="E6" s="558"/>
      <c r="F6" s="558"/>
      <c r="G6" s="558"/>
      <c r="H6" s="558"/>
      <c r="I6" s="559"/>
      <c r="J6" s="77" t="s">
        <v>3</v>
      </c>
      <c r="K6" s="560" t="s">
        <v>139</v>
      </c>
      <c r="L6" s="559"/>
      <c r="M6" s="560" t="s">
        <v>140</v>
      </c>
      <c r="N6" s="561"/>
      <c r="O6" s="78" t="s">
        <v>51</v>
      </c>
      <c r="P6" s="79">
        <v>195</v>
      </c>
    </row>
    <row r="7" spans="1:23" s="19" customFormat="1" ht="21.75" customHeight="1" x14ac:dyDescent="0.25">
      <c r="B7" s="562" t="s">
        <v>52</v>
      </c>
      <c r="C7" s="563" t="s">
        <v>53</v>
      </c>
      <c r="D7" s="533"/>
      <c r="E7" s="81"/>
      <c r="F7" s="564" t="s">
        <v>54</v>
      </c>
      <c r="G7" s="565"/>
      <c r="H7" s="565"/>
      <c r="I7" s="565"/>
      <c r="J7" s="566" t="s">
        <v>55</v>
      </c>
      <c r="K7" s="567"/>
      <c r="L7" s="567"/>
      <c r="M7" s="568"/>
      <c r="N7" s="569" t="s">
        <v>104</v>
      </c>
      <c r="O7" s="570"/>
      <c r="P7" s="82" t="s">
        <v>56</v>
      </c>
    </row>
    <row r="8" spans="1:23" s="19" customFormat="1" ht="21.75" customHeight="1" thickBot="1" x14ac:dyDescent="0.3">
      <c r="B8" s="508"/>
      <c r="C8" s="524" t="s">
        <v>57</v>
      </c>
      <c r="D8" s="523"/>
      <c r="E8" s="83" t="s">
        <v>4</v>
      </c>
      <c r="F8" s="534" t="s">
        <v>5</v>
      </c>
      <c r="G8" s="535"/>
      <c r="H8" s="535"/>
      <c r="I8" s="535"/>
      <c r="J8" s="536"/>
      <c r="K8" s="537"/>
      <c r="L8" s="537"/>
      <c r="M8" s="538"/>
      <c r="N8" s="539"/>
      <c r="O8" s="540"/>
      <c r="P8" s="84"/>
    </row>
    <row r="9" spans="1:23" s="19" customFormat="1" ht="21.75" customHeight="1" x14ac:dyDescent="0.25">
      <c r="B9" s="541" t="s">
        <v>6</v>
      </c>
      <c r="C9" s="544" t="s">
        <v>58</v>
      </c>
      <c r="D9" s="545" t="s">
        <v>59</v>
      </c>
      <c r="E9" s="530"/>
      <c r="F9" s="85"/>
      <c r="G9" s="546" t="s">
        <v>7</v>
      </c>
      <c r="H9" s="547" t="s">
        <v>8</v>
      </c>
      <c r="I9" s="533"/>
      <c r="J9" s="86"/>
      <c r="K9" s="544" t="s">
        <v>60</v>
      </c>
      <c r="L9" s="548" t="s">
        <v>109</v>
      </c>
      <c r="M9" s="549"/>
      <c r="N9" s="550"/>
      <c r="O9" s="550"/>
      <c r="P9" s="551"/>
    </row>
    <row r="10" spans="1:23" s="19" customFormat="1" ht="21.75" customHeight="1" thickBot="1" x14ac:dyDescent="0.3">
      <c r="B10" s="542"/>
      <c r="C10" s="489"/>
      <c r="D10" s="528" t="s">
        <v>61</v>
      </c>
      <c r="E10" s="523"/>
      <c r="F10" s="87" t="s">
        <v>4</v>
      </c>
      <c r="G10" s="489"/>
      <c r="H10" s="528" t="s">
        <v>9</v>
      </c>
      <c r="I10" s="523"/>
      <c r="J10" s="88" t="s">
        <v>4</v>
      </c>
      <c r="K10" s="489"/>
      <c r="L10" s="552"/>
      <c r="M10" s="553"/>
      <c r="N10" s="553"/>
      <c r="O10" s="553"/>
      <c r="P10" s="554"/>
    </row>
    <row r="11" spans="1:23" s="19" customFormat="1" ht="21.75" customHeight="1" x14ac:dyDescent="0.25">
      <c r="A11" s="17"/>
      <c r="B11" s="542"/>
      <c r="C11" s="529" t="s">
        <v>10</v>
      </c>
      <c r="D11" s="530"/>
      <c r="E11" s="89">
        <v>0.34861111111111115</v>
      </c>
      <c r="F11" s="531" t="s">
        <v>11</v>
      </c>
      <c r="G11" s="530"/>
      <c r="H11" s="193">
        <v>1.57</v>
      </c>
      <c r="I11" s="532" t="s">
        <v>12</v>
      </c>
      <c r="J11" s="533"/>
      <c r="K11" s="187">
        <v>26</v>
      </c>
      <c r="L11" s="529" t="s">
        <v>13</v>
      </c>
      <c r="M11" s="530"/>
      <c r="N11" s="91">
        <v>26.3</v>
      </c>
      <c r="O11" s="520" t="s">
        <v>62</v>
      </c>
      <c r="P11" s="521"/>
    </row>
    <row r="12" spans="1:23" s="19" customFormat="1" ht="21.75" customHeight="1" thickBot="1" x14ac:dyDescent="0.3">
      <c r="A12" s="17"/>
      <c r="B12" s="543"/>
      <c r="C12" s="522" t="s">
        <v>14</v>
      </c>
      <c r="D12" s="523"/>
      <c r="E12" s="89">
        <v>0.4201388888888889</v>
      </c>
      <c r="F12" s="524" t="s">
        <v>15</v>
      </c>
      <c r="G12" s="523"/>
      <c r="H12" s="193">
        <v>1.6</v>
      </c>
      <c r="I12" s="525" t="s">
        <v>16</v>
      </c>
      <c r="J12" s="523"/>
      <c r="K12" s="89">
        <v>0.35347222222222219</v>
      </c>
      <c r="L12" s="522" t="s">
        <v>17</v>
      </c>
      <c r="M12" s="523"/>
      <c r="N12" s="92">
        <v>1</v>
      </c>
      <c r="O12" s="526">
        <v>5.07</v>
      </c>
      <c r="P12" s="527"/>
    </row>
    <row r="13" spans="1:23" s="19" customFormat="1" ht="21.75" customHeight="1" x14ac:dyDescent="0.25">
      <c r="A13" s="17"/>
      <c r="B13" s="507" t="s">
        <v>18</v>
      </c>
      <c r="C13" s="509" t="s">
        <v>63</v>
      </c>
      <c r="D13" s="510"/>
      <c r="E13" s="510"/>
      <c r="F13" s="511" t="s">
        <v>64</v>
      </c>
      <c r="G13" s="510"/>
      <c r="H13" s="510"/>
      <c r="I13" s="510"/>
      <c r="J13" s="511" t="s">
        <v>65</v>
      </c>
      <c r="K13" s="510"/>
      <c r="L13" s="510"/>
      <c r="M13" s="510"/>
      <c r="N13" s="512" t="s">
        <v>66</v>
      </c>
      <c r="O13" s="510"/>
      <c r="P13" s="513"/>
      <c r="Q13" s="18"/>
      <c r="R13" s="18"/>
      <c r="S13" s="18"/>
      <c r="T13" s="18"/>
      <c r="U13" s="18"/>
      <c r="V13" s="18"/>
      <c r="W13" s="18"/>
    </row>
    <row r="14" spans="1:23" s="19" customFormat="1" ht="21.75" customHeight="1" x14ac:dyDescent="0.25">
      <c r="A14" s="17"/>
      <c r="B14" s="422"/>
      <c r="C14" s="514" t="s">
        <v>67</v>
      </c>
      <c r="D14" s="515"/>
      <c r="E14" s="515"/>
      <c r="F14" s="516" t="s">
        <v>68</v>
      </c>
      <c r="G14" s="515"/>
      <c r="H14" s="515"/>
      <c r="I14" s="515"/>
      <c r="J14" s="517" t="s">
        <v>69</v>
      </c>
      <c r="K14" s="515"/>
      <c r="L14" s="515"/>
      <c r="M14" s="515"/>
      <c r="N14" s="518"/>
      <c r="O14" s="504"/>
      <c r="P14" s="424"/>
      <c r="Q14" s="18"/>
      <c r="R14" s="18"/>
      <c r="S14" s="18"/>
      <c r="T14" s="18"/>
      <c r="U14" s="18"/>
      <c r="V14" s="18"/>
      <c r="W14" s="18"/>
    </row>
    <row r="15" spans="1:23" s="19" customFormat="1" ht="21.75" customHeight="1" thickBot="1" x14ac:dyDescent="0.3">
      <c r="A15" s="17"/>
      <c r="B15" s="508"/>
      <c r="C15" s="519" t="s">
        <v>70</v>
      </c>
      <c r="D15" s="491"/>
      <c r="E15" s="491"/>
      <c r="F15" s="491" t="s">
        <v>71</v>
      </c>
      <c r="G15" s="492"/>
      <c r="H15" s="492"/>
      <c r="I15" s="492"/>
      <c r="J15" s="491" t="s">
        <v>72</v>
      </c>
      <c r="K15" s="492"/>
      <c r="L15" s="492"/>
      <c r="M15" s="492"/>
      <c r="N15" s="493"/>
      <c r="O15" s="494"/>
      <c r="P15" s="495"/>
      <c r="Q15" s="18"/>
      <c r="R15" s="18"/>
      <c r="S15" s="18"/>
      <c r="T15" s="18"/>
      <c r="U15" s="18"/>
      <c r="V15" s="18"/>
      <c r="W15" s="18"/>
    </row>
    <row r="16" spans="1:23" s="19" customFormat="1" ht="21.75" customHeight="1" x14ac:dyDescent="0.25">
      <c r="A16" s="17"/>
      <c r="B16" s="496" t="s">
        <v>19</v>
      </c>
      <c r="C16" s="498" t="s">
        <v>20</v>
      </c>
      <c r="D16" s="498" t="s">
        <v>40</v>
      </c>
      <c r="E16" s="500" t="s">
        <v>21</v>
      </c>
      <c r="F16" s="501" t="s">
        <v>41</v>
      </c>
      <c r="G16" s="502"/>
      <c r="H16" s="498" t="s">
        <v>73</v>
      </c>
      <c r="I16" s="505" t="s">
        <v>74</v>
      </c>
      <c r="J16" s="20" t="s">
        <v>42</v>
      </c>
      <c r="K16" s="21"/>
      <c r="L16" s="22" t="s">
        <v>43</v>
      </c>
      <c r="M16" s="22" t="s">
        <v>44</v>
      </c>
      <c r="N16" s="22" t="s">
        <v>44</v>
      </c>
      <c r="O16" s="22" t="s">
        <v>45</v>
      </c>
      <c r="P16" s="23" t="s">
        <v>22</v>
      </c>
    </row>
    <row r="17" spans="1:23" s="19" customFormat="1" ht="21.75" customHeight="1" thickBot="1" x14ac:dyDescent="0.3">
      <c r="A17" s="24"/>
      <c r="B17" s="497"/>
      <c r="C17" s="499"/>
      <c r="D17" s="499"/>
      <c r="E17" s="499"/>
      <c r="F17" s="503"/>
      <c r="G17" s="504"/>
      <c r="H17" s="499"/>
      <c r="I17" s="506"/>
      <c r="J17" s="25" t="s">
        <v>23</v>
      </c>
      <c r="K17" s="26" t="s">
        <v>24</v>
      </c>
      <c r="L17" s="26" t="s">
        <v>46</v>
      </c>
      <c r="M17" s="26" t="s">
        <v>47</v>
      </c>
      <c r="N17" s="26" t="s">
        <v>25</v>
      </c>
      <c r="O17" s="26" t="s">
        <v>26</v>
      </c>
      <c r="P17" s="27" t="s">
        <v>27</v>
      </c>
    </row>
    <row r="18" spans="1:23" s="36" customFormat="1" ht="21.75" customHeight="1" thickBot="1" x14ac:dyDescent="0.3">
      <c r="A18" s="28"/>
      <c r="B18" s="29"/>
      <c r="C18" s="30">
        <f>+O12</f>
        <v>5.07</v>
      </c>
      <c r="D18" s="30">
        <v>0.11</v>
      </c>
      <c r="E18" s="31"/>
      <c r="F18" s="32"/>
      <c r="G18" s="71"/>
      <c r="H18" s="33"/>
      <c r="I18" s="34"/>
      <c r="J18" s="70"/>
      <c r="K18" s="31"/>
      <c r="L18" s="31"/>
      <c r="M18" s="31"/>
      <c r="N18" s="31"/>
      <c r="O18" s="31"/>
      <c r="P18" s="35"/>
      <c r="Q18" s="28"/>
      <c r="R18" s="28"/>
      <c r="S18" s="28"/>
      <c r="T18" s="28"/>
      <c r="U18" s="28"/>
      <c r="V18" s="28"/>
      <c r="W18" s="28"/>
    </row>
    <row r="19" spans="1:23" s="36" customFormat="1" ht="13.5" customHeight="1" x14ac:dyDescent="0.25">
      <c r="A19" s="28" t="s">
        <v>143</v>
      </c>
      <c r="B19" s="487">
        <v>1</v>
      </c>
      <c r="C19" s="490">
        <f>+C18+N12</f>
        <v>6.07</v>
      </c>
      <c r="D19" s="467">
        <v>0.48799999999999999</v>
      </c>
      <c r="E19" s="467">
        <v>0.45700000000000002</v>
      </c>
      <c r="F19" s="37" t="s">
        <v>75</v>
      </c>
      <c r="G19" s="38">
        <v>0</v>
      </c>
      <c r="H19" s="39"/>
      <c r="I19" s="40"/>
      <c r="J19" s="41">
        <v>3.6999999999999998E-2</v>
      </c>
      <c r="K19" s="467">
        <f t="shared" ref="K19" si="0">+IF(E19&lt;=0.12,(J21),(IF(E19&lt;0.16,((J20+2*J21+J22)/4),IF(E19&gt;=0.16,((J19+3*J20+2*J21+3*J22+J23)/10)))))</f>
        <v>0.16640000000000002</v>
      </c>
      <c r="L19" s="467">
        <f>ROUND(+(D18+D19)/2*(C19-C18),3)</f>
        <v>0.29899999999999999</v>
      </c>
      <c r="M19" s="467">
        <f t="shared" ref="M19" si="1">ROUND(+K19*L19,4)</f>
        <v>4.9799999999999997E-2</v>
      </c>
      <c r="N19" s="470">
        <f t="shared" ref="N19" si="2">ROUND(+M19/$M$168*100,2)</f>
        <v>2.65</v>
      </c>
      <c r="O19" s="471"/>
      <c r="P19" s="472"/>
      <c r="Q19" s="188"/>
      <c r="S19" s="28"/>
      <c r="T19" s="28"/>
      <c r="U19" s="28"/>
      <c r="V19" s="28"/>
      <c r="W19" s="28"/>
    </row>
    <row r="20" spans="1:23" s="36" customFormat="1" ht="13.5" customHeight="1" x14ac:dyDescent="0.25">
      <c r="A20" s="28"/>
      <c r="B20" s="488"/>
      <c r="C20" s="468"/>
      <c r="D20" s="468"/>
      <c r="E20" s="468"/>
      <c r="F20" s="42" t="s">
        <v>76</v>
      </c>
      <c r="G20" s="43">
        <f t="shared" ref="G20" si="3">IF(E19&lt;0.125,"NA",IF(0.125&lt;=E19,(0.2*E19)))</f>
        <v>9.1400000000000009E-2</v>
      </c>
      <c r="H20" s="44"/>
      <c r="I20" s="45"/>
      <c r="J20" s="46">
        <v>0.123</v>
      </c>
      <c r="K20" s="468"/>
      <c r="L20" s="468"/>
      <c r="M20" s="468"/>
      <c r="N20" s="468"/>
      <c r="O20" s="468"/>
      <c r="P20" s="473"/>
      <c r="Q20" s="188"/>
      <c r="R20" s="188"/>
      <c r="S20" s="28"/>
      <c r="T20" s="28"/>
      <c r="U20" s="28"/>
      <c r="V20" s="28"/>
      <c r="W20" s="28"/>
    </row>
    <row r="21" spans="1:23" s="36" customFormat="1" ht="13.5" customHeight="1" x14ac:dyDescent="0.25">
      <c r="A21" s="28"/>
      <c r="B21" s="488"/>
      <c r="C21" s="468"/>
      <c r="D21" s="468"/>
      <c r="E21" s="468"/>
      <c r="F21" s="42" t="s">
        <v>77</v>
      </c>
      <c r="G21" s="43">
        <f t="shared" ref="G21" si="4">+E19*0.4</f>
        <v>0.18280000000000002</v>
      </c>
      <c r="H21" s="44"/>
      <c r="I21" s="45"/>
      <c r="J21" s="46">
        <v>0.16700000000000001</v>
      </c>
      <c r="K21" s="468"/>
      <c r="L21" s="468"/>
      <c r="M21" s="468"/>
      <c r="N21" s="468"/>
      <c r="O21" s="468"/>
      <c r="P21" s="473"/>
      <c r="Q21" s="188"/>
      <c r="R21" s="188"/>
      <c r="S21" s="28"/>
      <c r="T21" s="28"/>
      <c r="U21" s="28"/>
      <c r="V21" s="28"/>
      <c r="W21" s="28"/>
    </row>
    <row r="22" spans="1:23" s="36" customFormat="1" ht="13.5" customHeight="1" x14ac:dyDescent="0.25">
      <c r="A22" s="28"/>
      <c r="B22" s="488"/>
      <c r="C22" s="468"/>
      <c r="D22" s="468"/>
      <c r="E22" s="468"/>
      <c r="F22" s="42" t="s">
        <v>78</v>
      </c>
      <c r="G22" s="43">
        <f t="shared" ref="G22" si="5">IF(E19&lt;0.125,"NA",IF(0.125&lt;=E19,(0.8*E19)))</f>
        <v>0.36560000000000004</v>
      </c>
      <c r="H22" s="44"/>
      <c r="I22" s="45"/>
      <c r="J22" s="46">
        <v>0.22700000000000001</v>
      </c>
      <c r="K22" s="468"/>
      <c r="L22" s="468"/>
      <c r="M22" s="468"/>
      <c r="N22" s="468"/>
      <c r="O22" s="468"/>
      <c r="P22" s="473"/>
      <c r="Q22" s="188"/>
      <c r="R22" s="188"/>
      <c r="S22" s="28"/>
      <c r="T22" s="28"/>
      <c r="U22" s="28"/>
      <c r="V22" s="28"/>
      <c r="W22" s="28"/>
    </row>
    <row r="23" spans="1:23" s="36" customFormat="1" ht="13.5" customHeight="1" thickBot="1" x14ac:dyDescent="0.3">
      <c r="A23" s="28"/>
      <c r="B23" s="489"/>
      <c r="C23" s="469"/>
      <c r="D23" s="469"/>
      <c r="E23" s="469"/>
      <c r="F23" s="47" t="s">
        <v>79</v>
      </c>
      <c r="G23" s="48">
        <f t="shared" ref="G23" si="6">+E19</f>
        <v>0.45700000000000002</v>
      </c>
      <c r="H23" s="49"/>
      <c r="I23" s="50"/>
      <c r="J23" s="51">
        <v>0.24299999999999999</v>
      </c>
      <c r="K23" s="469"/>
      <c r="L23" s="469"/>
      <c r="M23" s="469"/>
      <c r="N23" s="469"/>
      <c r="O23" s="469"/>
      <c r="P23" s="474"/>
      <c r="Q23" s="188"/>
      <c r="R23" s="188"/>
      <c r="S23" s="28"/>
      <c r="T23" s="28"/>
      <c r="U23" s="28"/>
      <c r="V23" s="28"/>
      <c r="W23" s="28"/>
    </row>
    <row r="24" spans="1:23" s="36" customFormat="1" ht="13.5" customHeight="1" x14ac:dyDescent="0.25">
      <c r="A24" s="28"/>
      <c r="B24" s="487">
        <f>+B19+1</f>
        <v>2</v>
      </c>
      <c r="C24" s="490">
        <f>+C19+$N$12</f>
        <v>7.07</v>
      </c>
      <c r="D24" s="467">
        <v>0.47499999999999998</v>
      </c>
      <c r="E24" s="467">
        <v>0.49</v>
      </c>
      <c r="F24" s="37" t="s">
        <v>75</v>
      </c>
      <c r="G24" s="38">
        <v>0</v>
      </c>
      <c r="H24" s="39"/>
      <c r="I24" s="40"/>
      <c r="J24" s="41">
        <v>0.25</v>
      </c>
      <c r="K24" s="467">
        <f t="shared" ref="K24" si="7">+IF(E24&lt;=0.12,(J26),(IF(E24&lt;0.16,((J25+2*J26+J27)/4),IF(E24&gt;=0.16,((J24+3*J25+2*J26+3*J27+J28)/10)))))</f>
        <v>0.35489999999999999</v>
      </c>
      <c r="L24" s="467">
        <f t="shared" ref="L24" si="8">ROUND(+(D19+D24)/2*(C24-C19),3)</f>
        <v>0.48199999999999998</v>
      </c>
      <c r="M24" s="467">
        <f t="shared" ref="M24" si="9">ROUND(+K24*L24,4)</f>
        <v>0.1711</v>
      </c>
      <c r="N24" s="470">
        <f t="shared" ref="N24" si="10">ROUND(+M24/$M$168*100,2)</f>
        <v>9.1199999999999992</v>
      </c>
      <c r="O24" s="471"/>
      <c r="P24" s="472"/>
      <c r="Q24" s="188"/>
      <c r="S24" s="28"/>
      <c r="T24" s="28"/>
      <c r="U24" s="28"/>
      <c r="V24" s="28"/>
      <c r="W24" s="28"/>
    </row>
    <row r="25" spans="1:23" s="36" customFormat="1" ht="13.5" customHeight="1" x14ac:dyDescent="0.25">
      <c r="A25" s="28"/>
      <c r="B25" s="488"/>
      <c r="C25" s="468"/>
      <c r="D25" s="468"/>
      <c r="E25" s="468"/>
      <c r="F25" s="42" t="s">
        <v>76</v>
      </c>
      <c r="G25" s="43">
        <f t="shared" ref="G25" si="11">IF(E24&lt;0.125,"NA",IF(0.125&lt;=E24,(0.2*E24)))</f>
        <v>9.8000000000000004E-2</v>
      </c>
      <c r="H25" s="44"/>
      <c r="I25" s="45"/>
      <c r="J25" s="46">
        <v>0.28799999999999998</v>
      </c>
      <c r="K25" s="468"/>
      <c r="L25" s="468"/>
      <c r="M25" s="468"/>
      <c r="N25" s="468"/>
      <c r="O25" s="468"/>
      <c r="P25" s="473"/>
      <c r="Q25" s="188"/>
      <c r="R25" s="188"/>
      <c r="S25" s="28"/>
      <c r="T25" s="28"/>
      <c r="U25" s="28"/>
      <c r="V25" s="28"/>
      <c r="W25" s="28"/>
    </row>
    <row r="26" spans="1:23" s="36" customFormat="1" ht="13.5" customHeight="1" x14ac:dyDescent="0.25">
      <c r="A26" s="28"/>
      <c r="B26" s="488"/>
      <c r="C26" s="468"/>
      <c r="D26" s="468"/>
      <c r="E26" s="468"/>
      <c r="F26" s="42" t="s">
        <v>77</v>
      </c>
      <c r="G26" s="43">
        <f t="shared" ref="G26" si="12">+E24*0.4</f>
        <v>0.19600000000000001</v>
      </c>
      <c r="H26" s="44"/>
      <c r="I26" s="45"/>
      <c r="J26" s="46">
        <v>0.34699999999999998</v>
      </c>
      <c r="K26" s="468"/>
      <c r="L26" s="468"/>
      <c r="M26" s="468"/>
      <c r="N26" s="468"/>
      <c r="O26" s="468"/>
      <c r="P26" s="473"/>
      <c r="Q26" s="188"/>
      <c r="R26" s="188"/>
      <c r="S26" s="28"/>
      <c r="T26" s="28"/>
      <c r="U26" s="28"/>
      <c r="V26" s="28"/>
      <c r="W26" s="28"/>
    </row>
    <row r="27" spans="1:23" s="36" customFormat="1" ht="13.5" customHeight="1" x14ac:dyDescent="0.25">
      <c r="A27" s="28"/>
      <c r="B27" s="488"/>
      <c r="C27" s="468"/>
      <c r="D27" s="468"/>
      <c r="E27" s="468"/>
      <c r="F27" s="42" t="s">
        <v>78</v>
      </c>
      <c r="G27" s="43">
        <f t="shared" ref="G27" si="13">IF(E24&lt;0.125,"NA",IF(0.125&lt;=E24,(0.8*E24)))</f>
        <v>0.39200000000000002</v>
      </c>
      <c r="H27" s="44"/>
      <c r="I27" s="45"/>
      <c r="J27" s="46">
        <v>0.441</v>
      </c>
      <c r="K27" s="468"/>
      <c r="L27" s="468"/>
      <c r="M27" s="468"/>
      <c r="N27" s="468"/>
      <c r="O27" s="468"/>
      <c r="P27" s="473"/>
      <c r="Q27" s="188"/>
      <c r="R27" s="188"/>
      <c r="S27" s="28"/>
      <c r="T27" s="28"/>
      <c r="U27" s="28"/>
      <c r="V27" s="28"/>
      <c r="W27" s="28"/>
    </row>
    <row r="28" spans="1:23" s="36" customFormat="1" ht="13.5" customHeight="1" thickBot="1" x14ac:dyDescent="0.3">
      <c r="A28" s="28"/>
      <c r="B28" s="489"/>
      <c r="C28" s="469"/>
      <c r="D28" s="469"/>
      <c r="E28" s="469"/>
      <c r="F28" s="47" t="s">
        <v>79</v>
      </c>
      <c r="G28" s="48">
        <f t="shared" ref="G28" si="14">+E24</f>
        <v>0.49</v>
      </c>
      <c r="H28" s="49"/>
      <c r="I28" s="50"/>
      <c r="J28" s="51">
        <v>0.41799999999999998</v>
      </c>
      <c r="K28" s="469"/>
      <c r="L28" s="469"/>
      <c r="M28" s="469"/>
      <c r="N28" s="469"/>
      <c r="O28" s="469"/>
      <c r="P28" s="474"/>
      <c r="Q28" s="188"/>
      <c r="R28" s="188"/>
      <c r="S28" s="28"/>
      <c r="T28" s="28"/>
      <c r="U28" s="28"/>
      <c r="V28" s="28"/>
      <c r="W28" s="28"/>
    </row>
    <row r="29" spans="1:23" s="36" customFormat="1" ht="13.5" customHeight="1" x14ac:dyDescent="0.25">
      <c r="A29" s="28"/>
      <c r="B29" s="487">
        <f t="shared" ref="B29" si="15">+B24+1</f>
        <v>3</v>
      </c>
      <c r="C29" s="490">
        <f t="shared" ref="C29" si="16">+C24+$N$12</f>
        <v>8.07</v>
      </c>
      <c r="D29" s="467">
        <v>0.42599999999999999</v>
      </c>
      <c r="E29" s="467">
        <v>0.44400000000000001</v>
      </c>
      <c r="F29" s="37" t="s">
        <v>75</v>
      </c>
      <c r="G29" s="38">
        <v>0</v>
      </c>
      <c r="H29" s="39"/>
      <c r="I29" s="40"/>
      <c r="J29" s="41">
        <v>0.17699999999999999</v>
      </c>
      <c r="K29" s="467">
        <f t="shared" ref="K29" si="17">+IF(E29&lt;=0.12,(J31),(IF(E29&lt;0.16,((J30+2*J31+J32)/4),IF(E29&gt;=0.16,((J29+3*J30+2*J31+3*J32+J33)/10)))))</f>
        <v>0.34689999999999999</v>
      </c>
      <c r="L29" s="467">
        <f t="shared" ref="L29" si="18">ROUND(+(D24+D29)/2*(C29-C24),3)</f>
        <v>0.45100000000000001</v>
      </c>
      <c r="M29" s="467">
        <f t="shared" ref="M29" si="19">ROUND(+K29*L29,4)</f>
        <v>0.1565</v>
      </c>
      <c r="N29" s="470">
        <f t="shared" ref="N29" si="20">ROUND(+M29/$M$168*100,2)</f>
        <v>8.34</v>
      </c>
      <c r="O29" s="471"/>
      <c r="P29" s="472"/>
      <c r="Q29" s="188"/>
      <c r="S29" s="28"/>
      <c r="T29" s="28"/>
      <c r="U29" s="28"/>
      <c r="V29" s="28"/>
      <c r="W29" s="28"/>
    </row>
    <row r="30" spans="1:23" s="36" customFormat="1" ht="13.5" customHeight="1" x14ac:dyDescent="0.25">
      <c r="A30" s="28"/>
      <c r="B30" s="488"/>
      <c r="C30" s="468"/>
      <c r="D30" s="468"/>
      <c r="E30" s="468"/>
      <c r="F30" s="42" t="s">
        <v>76</v>
      </c>
      <c r="G30" s="43">
        <f t="shared" ref="G30" si="21">IF(E29&lt;0.125,"NA",IF(0.125&lt;=E29,(0.2*E29)))</f>
        <v>8.8800000000000004E-2</v>
      </c>
      <c r="H30" s="44"/>
      <c r="I30" s="45"/>
      <c r="J30" s="46">
        <v>0.3</v>
      </c>
      <c r="K30" s="468"/>
      <c r="L30" s="468"/>
      <c r="M30" s="468"/>
      <c r="N30" s="468"/>
      <c r="O30" s="468"/>
      <c r="P30" s="473"/>
      <c r="Q30" s="188"/>
      <c r="R30" s="188"/>
      <c r="S30" s="28"/>
      <c r="T30" s="28"/>
      <c r="U30" s="28"/>
      <c r="V30" s="28"/>
      <c r="W30" s="28"/>
    </row>
    <row r="31" spans="1:23" s="36" customFormat="1" ht="13.5" customHeight="1" x14ac:dyDescent="0.25">
      <c r="A31" s="28"/>
      <c r="B31" s="488"/>
      <c r="C31" s="468"/>
      <c r="D31" s="468"/>
      <c r="E31" s="468"/>
      <c r="F31" s="42" t="s">
        <v>77</v>
      </c>
      <c r="G31" s="43">
        <f t="shared" ref="G31" si="22">+E29*0.4</f>
        <v>0.17760000000000001</v>
      </c>
      <c r="H31" s="44"/>
      <c r="I31" s="45"/>
      <c r="J31" s="46">
        <v>0.378</v>
      </c>
      <c r="K31" s="468"/>
      <c r="L31" s="468"/>
      <c r="M31" s="468"/>
      <c r="N31" s="468"/>
      <c r="O31" s="468"/>
      <c r="P31" s="473"/>
      <c r="Q31" s="188"/>
      <c r="R31" s="188"/>
      <c r="S31" s="28"/>
      <c r="T31" s="28"/>
      <c r="U31" s="28"/>
      <c r="V31" s="28"/>
      <c r="W31" s="28"/>
    </row>
    <row r="32" spans="1:23" s="36" customFormat="1" ht="13.5" customHeight="1" x14ac:dyDescent="0.25">
      <c r="A32" s="28"/>
      <c r="B32" s="488"/>
      <c r="C32" s="468"/>
      <c r="D32" s="468"/>
      <c r="E32" s="468"/>
      <c r="F32" s="42" t="s">
        <v>78</v>
      </c>
      <c r="G32" s="43">
        <f t="shared" ref="G32" si="23">IF(E29&lt;0.125,"NA",IF(0.125&lt;=E29,(0.8*E29)))</f>
        <v>0.35520000000000002</v>
      </c>
      <c r="H32" s="44"/>
      <c r="I32" s="45"/>
      <c r="J32" s="46">
        <v>0.40500000000000003</v>
      </c>
      <c r="K32" s="468"/>
      <c r="L32" s="468"/>
      <c r="M32" s="468"/>
      <c r="N32" s="468"/>
      <c r="O32" s="468"/>
      <c r="P32" s="473"/>
      <c r="Q32" s="188"/>
      <c r="R32" s="188"/>
      <c r="S32" s="28"/>
      <c r="T32" s="28"/>
      <c r="U32" s="28"/>
      <c r="V32" s="28"/>
      <c r="W32" s="28"/>
    </row>
    <row r="33" spans="1:23" s="36" customFormat="1" ht="13.5" customHeight="1" thickBot="1" x14ac:dyDescent="0.3">
      <c r="A33" s="28"/>
      <c r="B33" s="489"/>
      <c r="C33" s="469"/>
      <c r="D33" s="469"/>
      <c r="E33" s="469"/>
      <c r="F33" s="47" t="s">
        <v>79</v>
      </c>
      <c r="G33" s="48">
        <f t="shared" ref="G33" si="24">+E29</f>
        <v>0.44400000000000001</v>
      </c>
      <c r="H33" s="49"/>
      <c r="I33" s="50"/>
      <c r="J33" s="51">
        <v>0.42099999999999999</v>
      </c>
      <c r="K33" s="469"/>
      <c r="L33" s="469"/>
      <c r="M33" s="469"/>
      <c r="N33" s="469"/>
      <c r="O33" s="469"/>
      <c r="P33" s="474"/>
      <c r="Q33" s="188"/>
      <c r="R33" s="188"/>
      <c r="S33" s="28"/>
      <c r="T33" s="28"/>
      <c r="U33" s="28"/>
      <c r="V33" s="28"/>
      <c r="W33" s="28"/>
    </row>
    <row r="34" spans="1:23" s="36" customFormat="1" ht="13.5" customHeight="1" x14ac:dyDescent="0.25">
      <c r="A34" s="28"/>
      <c r="B34" s="487">
        <f t="shared" ref="B34" si="25">+B29+1</f>
        <v>4</v>
      </c>
      <c r="C34" s="490">
        <f t="shared" ref="C34" si="26">+C29+$N$12</f>
        <v>9.07</v>
      </c>
      <c r="D34" s="467">
        <v>0.39700000000000002</v>
      </c>
      <c r="E34" s="467">
        <v>0.42</v>
      </c>
      <c r="F34" s="37" t="s">
        <v>75</v>
      </c>
      <c r="G34" s="38">
        <v>0</v>
      </c>
      <c r="H34" s="39"/>
      <c r="I34" s="40"/>
      <c r="J34" s="41">
        <v>0.217</v>
      </c>
      <c r="K34" s="467">
        <f t="shared" ref="K34" si="27">+IF(E34&lt;=0.12,(J36),(IF(E34&lt;0.16,((J35+2*J36+J37)/4),IF(E34&gt;=0.16,((J34+3*J35+2*J36+3*J37+J38)/10)))))</f>
        <v>0.37559999999999999</v>
      </c>
      <c r="L34" s="467">
        <f t="shared" ref="L34" si="28">ROUND(+(D29+D34)/2*(C34-C29),3)</f>
        <v>0.41199999999999998</v>
      </c>
      <c r="M34" s="467">
        <f t="shared" ref="M34" si="29">ROUND(+K34*L34,4)</f>
        <v>0.1547</v>
      </c>
      <c r="N34" s="470">
        <f t="shared" ref="N34" si="30">ROUND(+M34/$M$168*100,2)</f>
        <v>8.24</v>
      </c>
      <c r="O34" s="471"/>
      <c r="P34" s="472"/>
      <c r="Q34" s="188"/>
      <c r="S34" s="28"/>
      <c r="T34" s="28"/>
      <c r="U34" s="28"/>
      <c r="V34" s="28"/>
      <c r="W34" s="28"/>
    </row>
    <row r="35" spans="1:23" s="36" customFormat="1" ht="13.5" customHeight="1" x14ac:dyDescent="0.25">
      <c r="A35" s="28"/>
      <c r="B35" s="488"/>
      <c r="C35" s="468"/>
      <c r="D35" s="468"/>
      <c r="E35" s="468"/>
      <c r="F35" s="42" t="s">
        <v>76</v>
      </c>
      <c r="G35" s="43">
        <f t="shared" ref="G35" si="31">IF(E34&lt;0.125,"NA",IF(0.125&lt;=E34,(0.2*E34)))</f>
        <v>8.4000000000000005E-2</v>
      </c>
      <c r="H35" s="44"/>
      <c r="I35" s="45"/>
      <c r="J35" s="46">
        <v>0.36499999999999999</v>
      </c>
      <c r="K35" s="468"/>
      <c r="L35" s="468"/>
      <c r="M35" s="468"/>
      <c r="N35" s="468"/>
      <c r="O35" s="468"/>
      <c r="P35" s="473"/>
      <c r="Q35" s="188"/>
      <c r="R35" s="188"/>
      <c r="S35" s="28"/>
      <c r="T35" s="28"/>
      <c r="U35" s="28"/>
      <c r="V35" s="28"/>
      <c r="W35" s="28"/>
    </row>
    <row r="36" spans="1:23" s="36" customFormat="1" ht="13.5" customHeight="1" x14ac:dyDescent="0.25">
      <c r="A36" s="28"/>
      <c r="B36" s="488"/>
      <c r="C36" s="468"/>
      <c r="D36" s="468"/>
      <c r="E36" s="468"/>
      <c r="F36" s="42" t="s">
        <v>77</v>
      </c>
      <c r="G36" s="43">
        <f t="shared" ref="G36" si="32">+E34*0.4</f>
        <v>0.16800000000000001</v>
      </c>
      <c r="H36" s="44"/>
      <c r="I36" s="45"/>
      <c r="J36" s="46">
        <v>0.36599999999999999</v>
      </c>
      <c r="K36" s="468"/>
      <c r="L36" s="468"/>
      <c r="M36" s="468"/>
      <c r="N36" s="468"/>
      <c r="O36" s="468"/>
      <c r="P36" s="473"/>
      <c r="Q36" s="188"/>
      <c r="R36" s="188"/>
      <c r="S36" s="28"/>
      <c r="T36" s="28"/>
      <c r="U36" s="28"/>
      <c r="V36" s="28"/>
      <c r="W36" s="28"/>
    </row>
    <row r="37" spans="1:23" s="36" customFormat="1" ht="13.5" customHeight="1" x14ac:dyDescent="0.25">
      <c r="A37" s="28"/>
      <c r="B37" s="488"/>
      <c r="C37" s="468"/>
      <c r="D37" s="468"/>
      <c r="E37" s="468"/>
      <c r="F37" s="42" t="s">
        <v>78</v>
      </c>
      <c r="G37" s="43">
        <f t="shared" ref="G37" si="33">IF(E34&lt;0.125,"NA",IF(0.125&lt;=E34,(0.8*E34)))</f>
        <v>0.33600000000000002</v>
      </c>
      <c r="H37" s="44"/>
      <c r="I37" s="45"/>
      <c r="J37" s="46">
        <v>0.42099999999999999</v>
      </c>
      <c r="K37" s="468"/>
      <c r="L37" s="468"/>
      <c r="M37" s="468"/>
      <c r="N37" s="468"/>
      <c r="O37" s="468"/>
      <c r="P37" s="473"/>
      <c r="Q37" s="188"/>
      <c r="R37" s="188"/>
      <c r="S37" s="28"/>
      <c r="T37" s="28"/>
      <c r="U37" s="28"/>
      <c r="V37" s="28"/>
      <c r="W37" s="28"/>
    </row>
    <row r="38" spans="1:23" s="36" customFormat="1" ht="13.5" customHeight="1" thickBot="1" x14ac:dyDescent="0.3">
      <c r="A38" s="28"/>
      <c r="B38" s="489"/>
      <c r="C38" s="469"/>
      <c r="D38" s="469"/>
      <c r="E38" s="469"/>
      <c r="F38" s="47" t="s">
        <v>79</v>
      </c>
      <c r="G38" s="48">
        <f t="shared" ref="G38" si="34">+E34</f>
        <v>0.42</v>
      </c>
      <c r="H38" s="49"/>
      <c r="I38" s="50"/>
      <c r="J38" s="51">
        <v>0.44900000000000001</v>
      </c>
      <c r="K38" s="469"/>
      <c r="L38" s="469"/>
      <c r="M38" s="469"/>
      <c r="N38" s="469"/>
      <c r="O38" s="469"/>
      <c r="P38" s="474"/>
      <c r="Q38" s="188"/>
      <c r="R38" s="188"/>
      <c r="S38" s="28"/>
      <c r="T38" s="28"/>
      <c r="U38" s="28"/>
      <c r="V38" s="28"/>
      <c r="W38" s="28"/>
    </row>
    <row r="39" spans="1:23" s="36" customFormat="1" ht="13.5" customHeight="1" x14ac:dyDescent="0.25">
      <c r="A39" s="28"/>
      <c r="B39" s="487">
        <f t="shared" ref="B39" si="35">+B34+1</f>
        <v>5</v>
      </c>
      <c r="C39" s="490">
        <f t="shared" ref="C39" si="36">+C34+$N$12</f>
        <v>10.07</v>
      </c>
      <c r="D39" s="467">
        <v>0.374</v>
      </c>
      <c r="E39" s="467">
        <v>0.37</v>
      </c>
      <c r="F39" s="37" t="s">
        <v>75</v>
      </c>
      <c r="G39" s="38">
        <v>0</v>
      </c>
      <c r="H39" s="39"/>
      <c r="I39" s="40"/>
      <c r="J39" s="41">
        <v>0.28799999999999998</v>
      </c>
      <c r="K39" s="467"/>
      <c r="L39" s="467"/>
      <c r="M39" s="467"/>
      <c r="N39" s="470"/>
      <c r="O39" s="471"/>
      <c r="P39" s="472"/>
      <c r="Q39" s="188"/>
      <c r="S39" s="28"/>
      <c r="T39" s="28"/>
      <c r="U39" s="28"/>
      <c r="V39" s="28"/>
      <c r="W39" s="28"/>
    </row>
    <row r="40" spans="1:23" s="36" customFormat="1" ht="13.5" customHeight="1" x14ac:dyDescent="0.25">
      <c r="A40" s="28"/>
      <c r="B40" s="488"/>
      <c r="C40" s="468"/>
      <c r="D40" s="468"/>
      <c r="E40" s="468"/>
      <c r="F40" s="42" t="s">
        <v>76</v>
      </c>
      <c r="G40" s="43">
        <f t="shared" ref="G40" si="37">IF(E39&lt;0.125,"NA",IF(0.125&lt;=E39,(0.2*E39)))</f>
        <v>7.3999999999999996E-2</v>
      </c>
      <c r="H40" s="44"/>
      <c r="I40" s="45"/>
      <c r="J40" s="46">
        <v>0.28199999999999997</v>
      </c>
      <c r="K40" s="468"/>
      <c r="L40" s="468"/>
      <c r="M40" s="468"/>
      <c r="N40" s="468"/>
      <c r="O40" s="468"/>
      <c r="P40" s="473"/>
      <c r="Q40" s="188"/>
      <c r="R40" s="188"/>
      <c r="S40" s="28"/>
      <c r="T40" s="28"/>
      <c r="U40" s="28"/>
      <c r="V40" s="28"/>
      <c r="W40" s="28"/>
    </row>
    <row r="41" spans="1:23" s="36" customFormat="1" ht="13.5" customHeight="1" x14ac:dyDescent="0.25">
      <c r="A41" s="28"/>
      <c r="B41" s="488"/>
      <c r="C41" s="468"/>
      <c r="D41" s="468"/>
      <c r="E41" s="468"/>
      <c r="F41" s="42" t="s">
        <v>77</v>
      </c>
      <c r="G41" s="43">
        <f t="shared" ref="G41" si="38">+E39*0.4</f>
        <v>0.14799999999999999</v>
      </c>
      <c r="H41" s="44"/>
      <c r="I41" s="45"/>
      <c r="J41" s="46">
        <v>0.43099999999999999</v>
      </c>
      <c r="K41" s="468"/>
      <c r="L41" s="468"/>
      <c r="M41" s="468"/>
      <c r="N41" s="468"/>
      <c r="O41" s="468"/>
      <c r="P41" s="473"/>
      <c r="Q41" s="188"/>
      <c r="R41" s="188"/>
      <c r="S41" s="28"/>
      <c r="T41" s="28"/>
      <c r="U41" s="28"/>
      <c r="V41" s="28"/>
      <c r="W41" s="28"/>
    </row>
    <row r="42" spans="1:23" s="36" customFormat="1" ht="13.5" customHeight="1" x14ac:dyDescent="0.25">
      <c r="A42" s="28"/>
      <c r="B42" s="488"/>
      <c r="C42" s="468"/>
      <c r="D42" s="468"/>
      <c r="E42" s="468"/>
      <c r="F42" s="42" t="s">
        <v>78</v>
      </c>
      <c r="G42" s="43">
        <f t="shared" ref="G42" si="39">IF(E39&lt;0.125,"NA",IF(0.125&lt;=E39,(0.8*E39)))</f>
        <v>0.29599999999999999</v>
      </c>
      <c r="H42" s="44"/>
      <c r="I42" s="45"/>
      <c r="J42" s="46">
        <v>0.437</v>
      </c>
      <c r="K42" s="468"/>
      <c r="L42" s="468"/>
      <c r="M42" s="468"/>
      <c r="N42" s="468"/>
      <c r="O42" s="468"/>
      <c r="P42" s="473"/>
      <c r="Q42" s="188"/>
      <c r="R42" s="188"/>
      <c r="S42" s="28"/>
      <c r="T42" s="28"/>
      <c r="U42" s="28"/>
      <c r="V42" s="28"/>
      <c r="W42" s="28"/>
    </row>
    <row r="43" spans="1:23" s="36" customFormat="1" ht="13.5" customHeight="1" thickBot="1" x14ac:dyDescent="0.3">
      <c r="A43" s="28"/>
      <c r="B43" s="489"/>
      <c r="C43" s="469"/>
      <c r="D43" s="469"/>
      <c r="E43" s="469"/>
      <c r="F43" s="47" t="s">
        <v>79</v>
      </c>
      <c r="G43" s="48">
        <f t="shared" ref="G43" si="40">+E39</f>
        <v>0.37</v>
      </c>
      <c r="H43" s="49"/>
      <c r="I43" s="50"/>
      <c r="J43" s="51">
        <v>0.47599999999999998</v>
      </c>
      <c r="K43" s="469"/>
      <c r="L43" s="469"/>
      <c r="M43" s="469"/>
      <c r="N43" s="469"/>
      <c r="O43" s="469"/>
      <c r="P43" s="474"/>
      <c r="Q43" s="188"/>
      <c r="R43" s="188"/>
      <c r="S43" s="28"/>
      <c r="T43" s="28"/>
      <c r="U43" s="28"/>
      <c r="V43" s="28"/>
      <c r="W43" s="28"/>
    </row>
    <row r="44" spans="1:23" s="36" customFormat="1" ht="13.5" customHeight="1" x14ac:dyDescent="0.25">
      <c r="A44" s="28"/>
      <c r="B44" s="487">
        <f t="shared" ref="B44" si="41">+B39+1</f>
        <v>6</v>
      </c>
      <c r="C44" s="490">
        <f t="shared" ref="C44" si="42">+C39+$N$12</f>
        <v>11.07</v>
      </c>
      <c r="D44" s="467">
        <v>0.32</v>
      </c>
      <c r="E44" s="467">
        <v>0.34499999999999997</v>
      </c>
      <c r="F44" s="37" t="s">
        <v>75</v>
      </c>
      <c r="G44" s="38">
        <v>0</v>
      </c>
      <c r="H44" s="39"/>
      <c r="I44" s="40"/>
      <c r="J44" s="41">
        <v>0.25</v>
      </c>
      <c r="K44" s="467">
        <f t="shared" ref="K44" si="43">+IF(E44&lt;=0.12,(J46),(IF(E44&lt;0.16,((J45+2*J46+J47)/4),IF(E44&gt;=0.16,((J44+3*J45+2*J46+3*J47+J48)/10)))))</f>
        <v>0.3916</v>
      </c>
      <c r="L44" s="467">
        <f t="shared" ref="L44" si="44">ROUND(+(D39+D44)/2*(C44-C39),3)</f>
        <v>0.34699999999999998</v>
      </c>
      <c r="M44" s="467">
        <f t="shared" ref="M44" si="45">ROUND(+K44*L44,4)</f>
        <v>0.13589999999999999</v>
      </c>
      <c r="N44" s="470">
        <f t="shared" ref="N44" si="46">ROUND(+M44/$M$168*100,2)</f>
        <v>7.24</v>
      </c>
      <c r="O44" s="471"/>
      <c r="P44" s="472"/>
      <c r="Q44" s="188"/>
      <c r="S44" s="28"/>
      <c r="T44" s="28"/>
      <c r="U44" s="28"/>
      <c r="V44" s="28"/>
      <c r="W44" s="28"/>
    </row>
    <row r="45" spans="1:23" s="36" customFormat="1" ht="13.5" customHeight="1" x14ac:dyDescent="0.25">
      <c r="A45" s="28"/>
      <c r="B45" s="488"/>
      <c r="C45" s="468"/>
      <c r="D45" s="468"/>
      <c r="E45" s="468"/>
      <c r="F45" s="42" t="s">
        <v>76</v>
      </c>
      <c r="G45" s="43">
        <f t="shared" ref="G45" si="47">IF(E44&lt;0.125,"NA",IF(0.125&lt;=E44,(0.2*E44)))</f>
        <v>6.8999999999999992E-2</v>
      </c>
      <c r="H45" s="44"/>
      <c r="I45" s="45"/>
      <c r="J45" s="46">
        <v>0.34499999999999997</v>
      </c>
      <c r="K45" s="468"/>
      <c r="L45" s="468"/>
      <c r="M45" s="468"/>
      <c r="N45" s="468"/>
      <c r="O45" s="468"/>
      <c r="P45" s="473"/>
      <c r="Q45" s="188"/>
      <c r="R45" s="188"/>
      <c r="S45" s="28"/>
      <c r="T45" s="28"/>
      <c r="U45" s="28"/>
      <c r="V45" s="28"/>
      <c r="W45" s="28"/>
    </row>
    <row r="46" spans="1:23" s="36" customFormat="1" ht="13.5" customHeight="1" x14ac:dyDescent="0.25">
      <c r="A46" s="28"/>
      <c r="B46" s="488"/>
      <c r="C46" s="468"/>
      <c r="D46" s="468"/>
      <c r="E46" s="468"/>
      <c r="F46" s="42" t="s">
        <v>77</v>
      </c>
      <c r="G46" s="43">
        <f t="shared" ref="G46" si="48">+E44*0.4</f>
        <v>0.13799999999999998</v>
      </c>
      <c r="H46" s="44"/>
      <c r="I46" s="45"/>
      <c r="J46" s="46">
        <v>0.40799999999999997</v>
      </c>
      <c r="K46" s="468"/>
      <c r="L46" s="468"/>
      <c r="M46" s="468"/>
      <c r="N46" s="468"/>
      <c r="O46" s="468"/>
      <c r="P46" s="473"/>
      <c r="Q46" s="188"/>
      <c r="R46" s="188"/>
      <c r="S46" s="28"/>
      <c r="T46" s="28"/>
      <c r="U46" s="28"/>
      <c r="V46" s="28"/>
      <c r="W46" s="28"/>
    </row>
    <row r="47" spans="1:23" s="36" customFormat="1" ht="13.5" customHeight="1" x14ac:dyDescent="0.25">
      <c r="A47" s="28"/>
      <c r="B47" s="488"/>
      <c r="C47" s="468"/>
      <c r="D47" s="468"/>
      <c r="E47" s="468"/>
      <c r="F47" s="42" t="s">
        <v>78</v>
      </c>
      <c r="G47" s="43">
        <f t="shared" ref="G47" si="49">IF(E44&lt;0.125,"NA",IF(0.125&lt;=E44,(0.8*E44)))</f>
        <v>0.27599999999999997</v>
      </c>
      <c r="H47" s="44"/>
      <c r="I47" s="45"/>
      <c r="J47" s="46">
        <v>0.45700000000000002</v>
      </c>
      <c r="K47" s="468"/>
      <c r="L47" s="468"/>
      <c r="M47" s="468"/>
      <c r="N47" s="468"/>
      <c r="O47" s="468"/>
      <c r="P47" s="473"/>
      <c r="Q47" s="188"/>
      <c r="R47" s="188"/>
      <c r="S47" s="28"/>
      <c r="T47" s="28"/>
      <c r="U47" s="28"/>
      <c r="V47" s="28"/>
      <c r="W47" s="28"/>
    </row>
    <row r="48" spans="1:23" s="36" customFormat="1" ht="13.5" customHeight="1" thickBot="1" x14ac:dyDescent="0.3">
      <c r="A48" s="28"/>
      <c r="B48" s="489"/>
      <c r="C48" s="469"/>
      <c r="D48" s="469"/>
      <c r="E48" s="469"/>
      <c r="F48" s="47" t="s">
        <v>79</v>
      </c>
      <c r="G48" s="48">
        <f t="shared" ref="G48" si="50">+E44</f>
        <v>0.34499999999999997</v>
      </c>
      <c r="H48" s="49"/>
      <c r="I48" s="50"/>
      <c r="J48" s="51">
        <v>0.44400000000000001</v>
      </c>
      <c r="K48" s="469"/>
      <c r="L48" s="469"/>
      <c r="M48" s="469"/>
      <c r="N48" s="469"/>
      <c r="O48" s="469"/>
      <c r="P48" s="474"/>
      <c r="Q48" s="188"/>
      <c r="R48" s="188"/>
      <c r="S48" s="28"/>
      <c r="T48" s="28"/>
      <c r="U48" s="28"/>
      <c r="V48" s="28"/>
      <c r="W48" s="28"/>
    </row>
    <row r="49" spans="1:23" s="36" customFormat="1" ht="13.5" customHeight="1" x14ac:dyDescent="0.25">
      <c r="A49" s="28"/>
      <c r="B49" s="487">
        <f t="shared" ref="B49" si="51">+B44+1</f>
        <v>7</v>
      </c>
      <c r="C49" s="490">
        <f t="shared" ref="C49" si="52">+C44+$N$12</f>
        <v>12.07</v>
      </c>
      <c r="D49" s="467">
        <v>0.27200000000000002</v>
      </c>
      <c r="E49" s="467">
        <v>0.28000000000000003</v>
      </c>
      <c r="F49" s="37" t="s">
        <v>75</v>
      </c>
      <c r="G49" s="38">
        <v>0</v>
      </c>
      <c r="H49" s="39"/>
      <c r="I49" s="40"/>
      <c r="J49" s="41">
        <v>0.29899999999999999</v>
      </c>
      <c r="K49" s="467">
        <f t="shared" ref="K49" si="53">+IF(E49&lt;=0.12,(J51),(IF(E49&lt;0.16,((J50+2*J51+J52)/4),IF(E49&gt;=0.16,((J49+3*J50+2*J51+3*J52+J53)/10)))))</f>
        <v>0.40380000000000005</v>
      </c>
      <c r="L49" s="467">
        <f t="shared" ref="L49" si="54">ROUND(+(D44+D49)/2*(C49-C44),3)</f>
        <v>0.29599999999999999</v>
      </c>
      <c r="M49" s="467">
        <f t="shared" ref="M49" si="55">ROUND(+K49*L49,4)</f>
        <v>0.1195</v>
      </c>
      <c r="N49" s="470">
        <f t="shared" ref="N49" si="56">ROUND(+M49/$M$168*100,2)</f>
        <v>6.37</v>
      </c>
      <c r="O49" s="471"/>
      <c r="P49" s="472"/>
      <c r="Q49" s="188"/>
      <c r="S49" s="28"/>
      <c r="T49" s="28"/>
      <c r="U49" s="28"/>
      <c r="V49" s="28"/>
      <c r="W49" s="28"/>
    </row>
    <row r="50" spans="1:23" s="36" customFormat="1" ht="13.5" customHeight="1" x14ac:dyDescent="0.25">
      <c r="A50" s="28"/>
      <c r="B50" s="488"/>
      <c r="C50" s="468"/>
      <c r="D50" s="468"/>
      <c r="E50" s="468"/>
      <c r="F50" s="42" t="s">
        <v>76</v>
      </c>
      <c r="G50" s="43">
        <f t="shared" ref="G50" si="57">IF(E49&lt;0.125,"NA",IF(0.125&lt;=E49,(0.2*E49)))</f>
        <v>5.6000000000000008E-2</v>
      </c>
      <c r="H50" s="44"/>
      <c r="I50" s="45"/>
      <c r="J50" s="46">
        <v>0.38500000000000001</v>
      </c>
      <c r="K50" s="468"/>
      <c r="L50" s="468"/>
      <c r="M50" s="468"/>
      <c r="N50" s="468"/>
      <c r="O50" s="468"/>
      <c r="P50" s="473"/>
      <c r="Q50" s="188"/>
      <c r="R50" s="188"/>
      <c r="S50" s="28"/>
      <c r="T50" s="28"/>
      <c r="U50" s="28"/>
      <c r="V50" s="28"/>
      <c r="W50" s="28"/>
    </row>
    <row r="51" spans="1:23" s="36" customFormat="1" ht="13.5" customHeight="1" x14ac:dyDescent="0.25">
      <c r="A51" s="28"/>
      <c r="B51" s="488"/>
      <c r="C51" s="468"/>
      <c r="D51" s="468"/>
      <c r="E51" s="468"/>
      <c r="F51" s="42" t="s">
        <v>77</v>
      </c>
      <c r="G51" s="43">
        <f t="shared" ref="G51" si="58">+E49*0.4</f>
        <v>0.11200000000000002</v>
      </c>
      <c r="H51" s="44"/>
      <c r="I51" s="45"/>
      <c r="J51" s="46">
        <v>0.39700000000000002</v>
      </c>
      <c r="K51" s="468"/>
      <c r="L51" s="468"/>
      <c r="M51" s="468"/>
      <c r="N51" s="468"/>
      <c r="O51" s="468"/>
      <c r="P51" s="473"/>
      <c r="Q51" s="188"/>
      <c r="R51" s="188"/>
      <c r="S51" s="28"/>
      <c r="T51" s="28"/>
      <c r="U51" s="28"/>
      <c r="V51" s="28"/>
      <c r="W51" s="28"/>
    </row>
    <row r="52" spans="1:23" s="36" customFormat="1" ht="13.5" customHeight="1" x14ac:dyDescent="0.25">
      <c r="A52" s="28"/>
      <c r="B52" s="488"/>
      <c r="C52" s="468"/>
      <c r="D52" s="468"/>
      <c r="E52" s="468"/>
      <c r="F52" s="42" t="s">
        <v>78</v>
      </c>
      <c r="G52" s="43">
        <f t="shared" ref="G52" si="59">IF(E49&lt;0.125,"NA",IF(0.125&lt;=E49,(0.8*E49)))</f>
        <v>0.22400000000000003</v>
      </c>
      <c r="H52" s="44"/>
      <c r="I52" s="45"/>
      <c r="J52" s="46">
        <v>0.45</v>
      </c>
      <c r="K52" s="468"/>
      <c r="L52" s="468"/>
      <c r="M52" s="468"/>
      <c r="N52" s="468"/>
      <c r="O52" s="468"/>
      <c r="P52" s="473"/>
      <c r="Q52" s="188"/>
      <c r="R52" s="188"/>
      <c r="S52" s="28"/>
      <c r="T52" s="28"/>
      <c r="U52" s="28"/>
      <c r="V52" s="28"/>
      <c r="W52" s="28"/>
    </row>
    <row r="53" spans="1:23" s="36" customFormat="1" ht="13.5" customHeight="1" thickBot="1" x14ac:dyDescent="0.3">
      <c r="A53" s="28"/>
      <c r="B53" s="489"/>
      <c r="C53" s="469"/>
      <c r="D53" s="469"/>
      <c r="E53" s="469"/>
      <c r="F53" s="47" t="s">
        <v>79</v>
      </c>
      <c r="G53" s="48">
        <f t="shared" ref="G53" si="60">+E49</f>
        <v>0.28000000000000003</v>
      </c>
      <c r="H53" s="49"/>
      <c r="I53" s="50"/>
      <c r="J53" s="51">
        <v>0.44</v>
      </c>
      <c r="K53" s="469"/>
      <c r="L53" s="469"/>
      <c r="M53" s="469"/>
      <c r="N53" s="469"/>
      <c r="O53" s="469"/>
      <c r="P53" s="474"/>
      <c r="Q53" s="188"/>
      <c r="R53" s="188"/>
      <c r="S53" s="28"/>
      <c r="T53" s="28"/>
      <c r="U53" s="28"/>
      <c r="V53" s="28"/>
      <c r="W53" s="28"/>
    </row>
    <row r="54" spans="1:23" s="36" customFormat="1" ht="13.5" customHeight="1" x14ac:dyDescent="0.25">
      <c r="A54" s="28" t="s">
        <v>143</v>
      </c>
      <c r="B54" s="487">
        <f t="shared" ref="B54" si="61">+B49+1</f>
        <v>8</v>
      </c>
      <c r="C54" s="490">
        <f t="shared" ref="C54" si="62">+C49+$N$12</f>
        <v>13.07</v>
      </c>
      <c r="D54" s="467">
        <v>0.22800000000000001</v>
      </c>
      <c r="E54" s="467">
        <v>0.25</v>
      </c>
      <c r="F54" s="37" t="s">
        <v>75</v>
      </c>
      <c r="G54" s="38">
        <v>0</v>
      </c>
      <c r="H54" s="39"/>
      <c r="I54" s="40"/>
      <c r="J54" s="41">
        <v>0.221</v>
      </c>
      <c r="K54" s="467">
        <f t="shared" ref="K54" si="63">+IF(E54&lt;=0.12,(J56),(IF(E54&lt;0.16,((J55+2*J56+J57)/4),IF(E54&gt;=0.16,((J54+3*J55+2*J56+3*J57+J58)/10)))))</f>
        <v>0.32819999999999999</v>
      </c>
      <c r="L54" s="467">
        <f t="shared" ref="L54" si="64">ROUND(+(D49+D54)/2*(C54-C49),3)</f>
        <v>0.25</v>
      </c>
      <c r="M54" s="467">
        <f t="shared" ref="M54" si="65">ROUND(+K54*L54,4)</f>
        <v>8.2100000000000006E-2</v>
      </c>
      <c r="N54" s="470">
        <f t="shared" ref="N54" si="66">ROUND(+M54/$M$168*100,2)</f>
        <v>4.37</v>
      </c>
      <c r="O54" s="471"/>
      <c r="P54" s="472"/>
      <c r="Q54" s="188"/>
      <c r="S54" s="28"/>
      <c r="T54" s="28"/>
      <c r="U54" s="28"/>
      <c r="V54" s="28"/>
      <c r="W54" s="28"/>
    </row>
    <row r="55" spans="1:23" s="36" customFormat="1" ht="13.5" customHeight="1" x14ac:dyDescent="0.25">
      <c r="A55" s="28"/>
      <c r="B55" s="488"/>
      <c r="C55" s="468"/>
      <c r="D55" s="468"/>
      <c r="E55" s="468"/>
      <c r="F55" s="42" t="s">
        <v>76</v>
      </c>
      <c r="G55" s="43">
        <f t="shared" ref="G55" si="67">IF(E54&lt;0.125,"NA",IF(0.125&lt;=E54,(0.2*E54)))</f>
        <v>0.05</v>
      </c>
      <c r="H55" s="44"/>
      <c r="I55" s="45"/>
      <c r="J55" s="46">
        <v>0.26200000000000001</v>
      </c>
      <c r="K55" s="468"/>
      <c r="L55" s="468"/>
      <c r="M55" s="468"/>
      <c r="N55" s="468"/>
      <c r="O55" s="468"/>
      <c r="P55" s="473"/>
      <c r="Q55" s="188"/>
      <c r="R55" s="188"/>
      <c r="S55" s="28"/>
      <c r="T55" s="28"/>
      <c r="U55" s="28"/>
      <c r="V55" s="28"/>
      <c r="W55" s="28"/>
    </row>
    <row r="56" spans="1:23" s="36" customFormat="1" ht="13.5" customHeight="1" x14ac:dyDescent="0.25">
      <c r="A56" s="28"/>
      <c r="B56" s="488"/>
      <c r="C56" s="468"/>
      <c r="D56" s="468"/>
      <c r="E56" s="468"/>
      <c r="F56" s="42" t="s">
        <v>77</v>
      </c>
      <c r="G56" s="43">
        <f t="shared" ref="G56" si="68">+E54*0.4</f>
        <v>0.1</v>
      </c>
      <c r="H56" s="44"/>
      <c r="I56" s="45"/>
      <c r="J56" s="46">
        <v>0.35599999999999998</v>
      </c>
      <c r="K56" s="468"/>
      <c r="L56" s="468"/>
      <c r="M56" s="468"/>
      <c r="N56" s="468"/>
      <c r="O56" s="468"/>
      <c r="P56" s="473"/>
      <c r="Q56" s="188"/>
      <c r="R56" s="188"/>
      <c r="S56" s="28"/>
      <c r="T56" s="28"/>
      <c r="U56" s="28"/>
      <c r="V56" s="28"/>
      <c r="W56" s="28"/>
    </row>
    <row r="57" spans="1:23" s="36" customFormat="1" ht="13.5" customHeight="1" x14ac:dyDescent="0.25">
      <c r="A57" s="28"/>
      <c r="B57" s="488"/>
      <c r="C57" s="468"/>
      <c r="D57" s="468"/>
      <c r="E57" s="468"/>
      <c r="F57" s="42" t="s">
        <v>78</v>
      </c>
      <c r="G57" s="43">
        <f t="shared" ref="G57" si="69">IF(E54&lt;0.125,"NA",IF(0.125&lt;=E54,(0.8*E54)))</f>
        <v>0.2</v>
      </c>
      <c r="H57" s="44"/>
      <c r="I57" s="45"/>
      <c r="J57" s="46">
        <v>0.38</v>
      </c>
      <c r="K57" s="468"/>
      <c r="L57" s="468"/>
      <c r="M57" s="468"/>
      <c r="N57" s="468"/>
      <c r="O57" s="468"/>
      <c r="P57" s="473"/>
      <c r="Q57" s="188"/>
      <c r="R57" s="188"/>
      <c r="S57" s="28"/>
      <c r="T57" s="28"/>
      <c r="U57" s="28"/>
      <c r="V57" s="28"/>
      <c r="W57" s="28"/>
    </row>
    <row r="58" spans="1:23" s="36" customFormat="1" ht="13.5" customHeight="1" thickBot="1" x14ac:dyDescent="0.3">
      <c r="A58" s="28"/>
      <c r="B58" s="489"/>
      <c r="C58" s="469"/>
      <c r="D58" s="469"/>
      <c r="E58" s="469"/>
      <c r="F58" s="47" t="s">
        <v>79</v>
      </c>
      <c r="G58" s="48">
        <f t="shared" ref="G58" si="70">+E54</f>
        <v>0.25</v>
      </c>
      <c r="H58" s="49"/>
      <c r="I58" s="50"/>
      <c r="J58" s="51">
        <v>0.42299999999999999</v>
      </c>
      <c r="K58" s="469"/>
      <c r="L58" s="469"/>
      <c r="M58" s="469"/>
      <c r="N58" s="469"/>
      <c r="O58" s="469"/>
      <c r="P58" s="474"/>
      <c r="Q58" s="188"/>
      <c r="R58" s="188"/>
      <c r="S58" s="28"/>
      <c r="T58" s="28"/>
      <c r="U58" s="28"/>
      <c r="V58" s="28"/>
      <c r="W58" s="28"/>
    </row>
    <row r="59" spans="1:23" s="36" customFormat="1" ht="13.5" customHeight="1" x14ac:dyDescent="0.25">
      <c r="A59" s="28"/>
      <c r="B59" s="487">
        <f t="shared" ref="B59" si="71">+B54+1</f>
        <v>9</v>
      </c>
      <c r="C59" s="490">
        <f t="shared" ref="C59" si="72">+C54+$N$12</f>
        <v>14.07</v>
      </c>
      <c r="D59" s="467">
        <v>0.16500000000000001</v>
      </c>
      <c r="E59" s="467">
        <v>0.17499999999999999</v>
      </c>
      <c r="F59" s="37" t="s">
        <v>75</v>
      </c>
      <c r="G59" s="38">
        <v>0</v>
      </c>
      <c r="H59" s="39"/>
      <c r="I59" s="40"/>
      <c r="J59" s="41">
        <v>0.255</v>
      </c>
      <c r="K59" s="467">
        <f t="shared" ref="K59" si="73">+IF(E59&lt;=0.12,(J61),(IF(E59&lt;0.16,((J60+2*J61+J62)/4),IF(E59&gt;=0.16,((J59+3*J60+2*J61+3*J62+J63)/10)))))</f>
        <v>0.315</v>
      </c>
      <c r="L59" s="467">
        <f t="shared" ref="L59" si="74">ROUND(+(D54+D59)/2*(C59-C54),3)</f>
        <v>0.19700000000000001</v>
      </c>
      <c r="M59" s="467">
        <f t="shared" ref="M59" si="75">ROUND(+K59*L59,4)</f>
        <v>6.2100000000000002E-2</v>
      </c>
      <c r="N59" s="470">
        <f t="shared" ref="N59" si="76">ROUND(+M59/$M$168*100,2)</f>
        <v>3.31</v>
      </c>
      <c r="O59" s="471"/>
      <c r="P59" s="472"/>
      <c r="Q59" s="188"/>
      <c r="S59" s="28"/>
      <c r="T59" s="28"/>
      <c r="U59" s="28"/>
      <c r="V59" s="28"/>
      <c r="W59" s="28"/>
    </row>
    <row r="60" spans="1:23" s="36" customFormat="1" ht="13.5" customHeight="1" x14ac:dyDescent="0.25">
      <c r="A60" s="28"/>
      <c r="B60" s="488"/>
      <c r="C60" s="468"/>
      <c r="D60" s="468"/>
      <c r="E60" s="468"/>
      <c r="F60" s="42" t="s">
        <v>76</v>
      </c>
      <c r="G60" s="43">
        <f t="shared" ref="G60" si="77">IF(E59&lt;0.125,"NA",IF(0.125&lt;=E59,(0.2*E59)))</f>
        <v>3.4999999999999996E-2</v>
      </c>
      <c r="H60" s="44"/>
      <c r="I60" s="45"/>
      <c r="J60" s="46">
        <v>0.247</v>
      </c>
      <c r="K60" s="468"/>
      <c r="L60" s="468"/>
      <c r="M60" s="468"/>
      <c r="N60" s="468"/>
      <c r="O60" s="468"/>
      <c r="P60" s="473"/>
      <c r="Q60" s="188"/>
      <c r="R60" s="188"/>
      <c r="S60" s="28"/>
      <c r="T60" s="28"/>
      <c r="U60" s="28"/>
      <c r="V60" s="28"/>
      <c r="W60" s="28"/>
    </row>
    <row r="61" spans="1:23" s="36" customFormat="1" ht="13.5" customHeight="1" x14ac:dyDescent="0.25">
      <c r="A61" s="28"/>
      <c r="B61" s="488"/>
      <c r="C61" s="468"/>
      <c r="D61" s="468"/>
      <c r="E61" s="468"/>
      <c r="F61" s="42" t="s">
        <v>77</v>
      </c>
      <c r="G61" s="43">
        <f t="shared" ref="G61" si="78">+E59*0.4</f>
        <v>6.9999999999999993E-2</v>
      </c>
      <c r="H61" s="44"/>
      <c r="I61" s="45"/>
      <c r="J61" s="46">
        <v>0.33100000000000002</v>
      </c>
      <c r="K61" s="468"/>
      <c r="L61" s="468"/>
      <c r="M61" s="468"/>
      <c r="N61" s="468"/>
      <c r="O61" s="468"/>
      <c r="P61" s="473"/>
      <c r="Q61" s="188"/>
      <c r="R61" s="188"/>
      <c r="S61" s="28"/>
      <c r="T61" s="28"/>
      <c r="U61" s="28"/>
      <c r="V61" s="28"/>
      <c r="W61" s="28"/>
    </row>
    <row r="62" spans="1:23" s="36" customFormat="1" ht="13.5" customHeight="1" x14ac:dyDescent="0.25">
      <c r="A62" s="28"/>
      <c r="B62" s="488"/>
      <c r="C62" s="468"/>
      <c r="D62" s="468"/>
      <c r="E62" s="468"/>
      <c r="F62" s="42" t="s">
        <v>78</v>
      </c>
      <c r="G62" s="43">
        <f t="shared" ref="G62" si="79">IF(E59&lt;0.125,"NA",IF(0.125&lt;=E59,(0.8*E59)))</f>
        <v>0.13999999999999999</v>
      </c>
      <c r="H62" s="44"/>
      <c r="I62" s="45"/>
      <c r="J62" s="46">
        <v>0.371</v>
      </c>
      <c r="K62" s="468"/>
      <c r="L62" s="468"/>
      <c r="M62" s="468"/>
      <c r="N62" s="468"/>
      <c r="O62" s="468"/>
      <c r="P62" s="473"/>
      <c r="Q62" s="188"/>
      <c r="R62" s="188"/>
      <c r="S62" s="28"/>
      <c r="T62" s="28"/>
      <c r="U62" s="28"/>
      <c r="V62" s="28"/>
      <c r="W62" s="28"/>
    </row>
    <row r="63" spans="1:23" s="36" customFormat="1" ht="13.5" customHeight="1" thickBot="1" x14ac:dyDescent="0.3">
      <c r="A63" s="28"/>
      <c r="B63" s="489"/>
      <c r="C63" s="469"/>
      <c r="D63" s="469"/>
      <c r="E63" s="469"/>
      <c r="F63" s="47" t="s">
        <v>79</v>
      </c>
      <c r="G63" s="48">
        <f t="shared" ref="G63" si="80">+E59</f>
        <v>0.17499999999999999</v>
      </c>
      <c r="H63" s="49"/>
      <c r="I63" s="50"/>
      <c r="J63" s="51">
        <v>0.379</v>
      </c>
      <c r="K63" s="469"/>
      <c r="L63" s="469"/>
      <c r="M63" s="469"/>
      <c r="N63" s="469"/>
      <c r="O63" s="469"/>
      <c r="P63" s="474"/>
      <c r="Q63" s="188"/>
      <c r="R63" s="188"/>
      <c r="S63" s="28"/>
      <c r="T63" s="28"/>
      <c r="U63" s="28"/>
      <c r="V63" s="28"/>
      <c r="W63" s="28"/>
    </row>
    <row r="64" spans="1:23" s="36" customFormat="1" ht="13.5" customHeight="1" x14ac:dyDescent="0.25">
      <c r="A64" s="28"/>
      <c r="B64" s="487">
        <f t="shared" ref="B64" si="81">+B59+1</f>
        <v>10</v>
      </c>
      <c r="C64" s="490">
        <f t="shared" ref="C64" si="82">+C59+$N$12</f>
        <v>15.07</v>
      </c>
      <c r="D64" s="467">
        <v>0.17499999999999999</v>
      </c>
      <c r="E64" s="467">
        <v>0.158</v>
      </c>
      <c r="F64" s="37" t="s">
        <v>75</v>
      </c>
      <c r="G64" s="38">
        <v>0</v>
      </c>
      <c r="H64" s="39"/>
      <c r="I64" s="40"/>
      <c r="J64" s="41">
        <v>0.27600000000000002</v>
      </c>
      <c r="K64" s="467">
        <f t="shared" ref="K64" si="83">+IF(E64&lt;=0.12,(J66),(IF(E64&lt;0.16,((J65+2*J66+J67)/4),IF(E64&gt;=0.16,((J64+3*J65+2*J66+3*J67+J68)/10)))))</f>
        <v>0.36649999999999999</v>
      </c>
      <c r="L64" s="467">
        <f t="shared" ref="L64" si="84">ROUND(+(D59+D64)/2*(C64-C59),3)</f>
        <v>0.17</v>
      </c>
      <c r="M64" s="467">
        <f t="shared" ref="M64" si="85">ROUND(+K64*L64,4)</f>
        <v>6.2300000000000001E-2</v>
      </c>
      <c r="N64" s="470">
        <f t="shared" ref="N64" si="86">ROUND(+M64/$M$168*100,2)</f>
        <v>3.32</v>
      </c>
      <c r="O64" s="471"/>
      <c r="P64" s="472"/>
      <c r="Q64" s="188"/>
      <c r="S64" s="28"/>
      <c r="T64" s="28"/>
      <c r="U64" s="28"/>
      <c r="V64" s="28"/>
      <c r="W64" s="28"/>
    </row>
    <row r="65" spans="1:23" s="36" customFormat="1" ht="13.5" customHeight="1" x14ac:dyDescent="0.25">
      <c r="A65" s="28"/>
      <c r="B65" s="488"/>
      <c r="C65" s="468"/>
      <c r="D65" s="468"/>
      <c r="E65" s="468"/>
      <c r="F65" s="42" t="s">
        <v>76</v>
      </c>
      <c r="G65" s="43">
        <f t="shared" ref="G65" si="87">IF(E64&lt;0.125,"NA",IF(0.125&lt;=E64,(0.2*E64)))</f>
        <v>3.1600000000000003E-2</v>
      </c>
      <c r="H65" s="44"/>
      <c r="I65" s="45"/>
      <c r="J65" s="46">
        <v>0.33700000000000002</v>
      </c>
      <c r="K65" s="468"/>
      <c r="L65" s="468"/>
      <c r="M65" s="468"/>
      <c r="N65" s="468"/>
      <c r="O65" s="468"/>
      <c r="P65" s="473"/>
      <c r="Q65" s="188"/>
      <c r="R65" s="188"/>
      <c r="S65" s="28"/>
      <c r="T65" s="28"/>
      <c r="U65" s="28"/>
      <c r="V65" s="28"/>
      <c r="W65" s="28"/>
    </row>
    <row r="66" spans="1:23" s="36" customFormat="1" ht="13.5" customHeight="1" x14ac:dyDescent="0.25">
      <c r="A66" s="28"/>
      <c r="B66" s="488"/>
      <c r="C66" s="468"/>
      <c r="D66" s="468"/>
      <c r="E66" s="468"/>
      <c r="F66" s="42" t="s">
        <v>77</v>
      </c>
      <c r="G66" s="43">
        <f t="shared" ref="G66" si="88">+E64*0.4</f>
        <v>6.3200000000000006E-2</v>
      </c>
      <c r="H66" s="44"/>
      <c r="I66" s="45"/>
      <c r="J66" s="46">
        <v>0.35499999999999998</v>
      </c>
      <c r="K66" s="468"/>
      <c r="L66" s="468"/>
      <c r="M66" s="468"/>
      <c r="N66" s="468"/>
      <c r="O66" s="468"/>
      <c r="P66" s="473"/>
      <c r="Q66" s="188"/>
      <c r="R66" s="188"/>
      <c r="S66" s="28"/>
      <c r="T66" s="28"/>
      <c r="U66" s="28"/>
      <c r="V66" s="28"/>
      <c r="W66" s="28"/>
    </row>
    <row r="67" spans="1:23" s="36" customFormat="1" ht="13.5" customHeight="1" x14ac:dyDescent="0.25">
      <c r="A67" s="28"/>
      <c r="B67" s="488"/>
      <c r="C67" s="468"/>
      <c r="D67" s="468"/>
      <c r="E67" s="468"/>
      <c r="F67" s="42" t="s">
        <v>78</v>
      </c>
      <c r="G67" s="43">
        <f t="shared" ref="G67" si="89">IF(E64&lt;0.125,"NA",IF(0.125&lt;=E64,(0.8*E64)))</f>
        <v>0.12640000000000001</v>
      </c>
      <c r="H67" s="44"/>
      <c r="I67" s="45"/>
      <c r="J67" s="46">
        <v>0.41899999999999998</v>
      </c>
      <c r="K67" s="468"/>
      <c r="L67" s="468"/>
      <c r="M67" s="468"/>
      <c r="N67" s="468"/>
      <c r="O67" s="468"/>
      <c r="P67" s="473"/>
      <c r="Q67" s="188"/>
      <c r="R67" s="188"/>
      <c r="S67" s="28"/>
      <c r="T67" s="28"/>
      <c r="U67" s="28"/>
      <c r="V67" s="28"/>
      <c r="W67" s="28"/>
    </row>
    <row r="68" spans="1:23" s="36" customFormat="1" ht="13.5" customHeight="1" thickBot="1" x14ac:dyDescent="0.3">
      <c r="A68" s="28"/>
      <c r="B68" s="489"/>
      <c r="C68" s="469"/>
      <c r="D68" s="469"/>
      <c r="E68" s="469"/>
      <c r="F68" s="47" t="s">
        <v>79</v>
      </c>
      <c r="G68" s="48">
        <f t="shared" ref="G68" si="90">+E64</f>
        <v>0.158</v>
      </c>
      <c r="H68" s="49"/>
      <c r="I68" s="50"/>
      <c r="J68" s="51">
        <v>0.39200000000000002</v>
      </c>
      <c r="K68" s="469"/>
      <c r="L68" s="469"/>
      <c r="M68" s="469"/>
      <c r="N68" s="469"/>
      <c r="O68" s="469"/>
      <c r="P68" s="474"/>
      <c r="Q68" s="188"/>
      <c r="R68" s="188"/>
      <c r="S68" s="28"/>
      <c r="T68" s="28"/>
      <c r="U68" s="28"/>
      <c r="V68" s="28"/>
      <c r="W68" s="28"/>
    </row>
    <row r="69" spans="1:23" s="36" customFormat="1" ht="13.5" customHeight="1" x14ac:dyDescent="0.25">
      <c r="A69" s="28"/>
      <c r="B69" s="487">
        <f t="shared" ref="B69" si="91">+B64+1</f>
        <v>11</v>
      </c>
      <c r="C69" s="490">
        <f t="shared" ref="C69:C89" si="92">+C64+$N$12</f>
        <v>16.07</v>
      </c>
      <c r="D69" s="467">
        <v>0.20799999999999999</v>
      </c>
      <c r="E69" s="467">
        <v>0.19400000000000001</v>
      </c>
      <c r="F69" s="37" t="s">
        <v>75</v>
      </c>
      <c r="G69" s="38">
        <v>0</v>
      </c>
      <c r="H69" s="39"/>
      <c r="I69" s="40"/>
      <c r="J69" s="41">
        <v>0.26800000000000002</v>
      </c>
      <c r="K69" s="467">
        <f t="shared" ref="K69" si="93">+IF(E69&lt;=0.12,(J71),(IF(E69&lt;0.16,((J70+2*J71+J72)/4),IF(E69&gt;=0.16,((J69+3*J70+2*J71+3*J72+J73)/10)))))</f>
        <v>0.34889999999999999</v>
      </c>
      <c r="L69" s="467">
        <f t="shared" ref="L69" si="94">ROUND(+(D64+D69)/2*(C69-C64),3)</f>
        <v>0.192</v>
      </c>
      <c r="M69" s="467">
        <f t="shared" ref="M69" si="95">ROUND(+K69*L69,4)</f>
        <v>6.7000000000000004E-2</v>
      </c>
      <c r="N69" s="470">
        <f t="shared" ref="N69" si="96">ROUND(+M69/$M$168*100,2)</f>
        <v>3.57</v>
      </c>
      <c r="O69" s="471"/>
      <c r="P69" s="472"/>
      <c r="Q69" s="188"/>
      <c r="S69" s="28"/>
      <c r="T69" s="28"/>
      <c r="U69" s="28"/>
      <c r="V69" s="28"/>
      <c r="W69" s="28"/>
    </row>
    <row r="70" spans="1:23" s="36" customFormat="1" ht="13.5" customHeight="1" x14ac:dyDescent="0.25">
      <c r="A70" s="28"/>
      <c r="B70" s="488"/>
      <c r="C70" s="468"/>
      <c r="D70" s="468"/>
      <c r="E70" s="468"/>
      <c r="F70" s="42" t="s">
        <v>76</v>
      </c>
      <c r="G70" s="43">
        <f t="shared" ref="G70" si="97">IF(E69&lt;0.125,"NA",IF(0.125&lt;=E69,(0.2*E69)))</f>
        <v>3.8800000000000001E-2</v>
      </c>
      <c r="H70" s="44"/>
      <c r="I70" s="45"/>
      <c r="J70" s="46">
        <v>0.30099999999999999</v>
      </c>
      <c r="K70" s="468"/>
      <c r="L70" s="468"/>
      <c r="M70" s="468"/>
      <c r="N70" s="468"/>
      <c r="O70" s="468"/>
      <c r="P70" s="473"/>
      <c r="Q70" s="188"/>
      <c r="R70" s="188"/>
      <c r="S70" s="28"/>
      <c r="T70" s="28"/>
      <c r="U70" s="28"/>
      <c r="V70" s="28"/>
      <c r="W70" s="28"/>
    </row>
    <row r="71" spans="1:23" s="36" customFormat="1" ht="13.5" customHeight="1" x14ac:dyDescent="0.25">
      <c r="A71" s="28"/>
      <c r="B71" s="488"/>
      <c r="C71" s="468"/>
      <c r="D71" s="468"/>
      <c r="E71" s="468"/>
      <c r="F71" s="42" t="s">
        <v>77</v>
      </c>
      <c r="G71" s="43">
        <f t="shared" ref="G71" si="98">+E69*0.4</f>
        <v>7.7600000000000002E-2</v>
      </c>
      <c r="H71" s="44"/>
      <c r="I71" s="45"/>
      <c r="J71" s="46">
        <v>0.35699999999999998</v>
      </c>
      <c r="K71" s="468"/>
      <c r="L71" s="468"/>
      <c r="M71" s="468"/>
      <c r="N71" s="468"/>
      <c r="O71" s="468"/>
      <c r="P71" s="473"/>
      <c r="Q71" s="188"/>
      <c r="R71" s="188"/>
      <c r="S71" s="28"/>
      <c r="T71" s="28"/>
      <c r="U71" s="28"/>
      <c r="V71" s="28"/>
      <c r="W71" s="28"/>
    </row>
    <row r="72" spans="1:23" s="36" customFormat="1" ht="13.5" customHeight="1" x14ac:dyDescent="0.25">
      <c r="A72" s="28"/>
      <c r="B72" s="488"/>
      <c r="C72" s="468"/>
      <c r="D72" s="468"/>
      <c r="E72" s="468"/>
      <c r="F72" s="42" t="s">
        <v>78</v>
      </c>
      <c r="G72" s="43">
        <f t="shared" ref="G72" si="99">IF(E69&lt;0.125,"NA",IF(0.125&lt;=E69,(0.8*E69)))</f>
        <v>0.1552</v>
      </c>
      <c r="H72" s="44"/>
      <c r="I72" s="45"/>
      <c r="J72" s="46">
        <v>0.39700000000000002</v>
      </c>
      <c r="K72" s="468"/>
      <c r="L72" s="468"/>
      <c r="M72" s="468"/>
      <c r="N72" s="468"/>
      <c r="O72" s="468"/>
      <c r="P72" s="473"/>
      <c r="Q72" s="188"/>
      <c r="R72" s="188"/>
      <c r="S72" s="28"/>
      <c r="T72" s="28"/>
      <c r="U72" s="28"/>
      <c r="V72" s="28"/>
      <c r="W72" s="28"/>
    </row>
    <row r="73" spans="1:23" s="36" customFormat="1" ht="13.5" customHeight="1" thickBot="1" x14ac:dyDescent="0.3">
      <c r="A73" s="28"/>
      <c r="B73" s="489"/>
      <c r="C73" s="469"/>
      <c r="D73" s="469"/>
      <c r="E73" s="469"/>
      <c r="F73" s="47" t="s">
        <v>79</v>
      </c>
      <c r="G73" s="48">
        <f t="shared" ref="G73" si="100">+E69</f>
        <v>0.19400000000000001</v>
      </c>
      <c r="H73" s="49"/>
      <c r="I73" s="50"/>
      <c r="J73" s="51">
        <v>0.41299999999999998</v>
      </c>
      <c r="K73" s="469"/>
      <c r="L73" s="469"/>
      <c r="M73" s="469"/>
      <c r="N73" s="469"/>
      <c r="O73" s="469"/>
      <c r="P73" s="474"/>
      <c r="Q73" s="188"/>
      <c r="R73" s="188"/>
      <c r="S73" s="28"/>
      <c r="T73" s="28"/>
      <c r="U73" s="28"/>
      <c r="V73" s="28"/>
      <c r="W73" s="28"/>
    </row>
    <row r="74" spans="1:23" s="36" customFormat="1" ht="13.5" customHeight="1" x14ac:dyDescent="0.25">
      <c r="A74" s="28"/>
      <c r="B74" s="487">
        <f t="shared" ref="B74" si="101">+B69+1</f>
        <v>12</v>
      </c>
      <c r="C74" s="490">
        <f t="shared" si="92"/>
        <v>17.07</v>
      </c>
      <c r="D74" s="467">
        <v>0.16400000000000001</v>
      </c>
      <c r="E74" s="467">
        <v>0.21099999999999999</v>
      </c>
      <c r="F74" s="37" t="s">
        <v>75</v>
      </c>
      <c r="G74" s="38">
        <v>0</v>
      </c>
      <c r="H74" s="39"/>
      <c r="I74" s="40"/>
      <c r="J74" s="41">
        <v>0.11700000000000001</v>
      </c>
      <c r="K74" s="467">
        <f t="shared" ref="K74" si="102">+IF(E74&lt;=0.12,(J76),(IF(E74&lt;0.16,((J75+2*J76+J77)/4),IF(E74&gt;=0.16,((J74+3*J75+2*J76+3*J77+J78)/10)))))</f>
        <v>0.29199999999999998</v>
      </c>
      <c r="L74" s="467">
        <f t="shared" ref="L74" si="103">ROUND(+(D69+D74)/2*(C74-C69),3)</f>
        <v>0.186</v>
      </c>
      <c r="M74" s="467">
        <f t="shared" ref="M74" si="104">ROUND(+K74*L74,4)</f>
        <v>5.4300000000000001E-2</v>
      </c>
      <c r="N74" s="470">
        <f t="shared" ref="N74" si="105">ROUND(+M74/$M$168*100,2)</f>
        <v>2.89</v>
      </c>
      <c r="O74" s="471"/>
      <c r="P74" s="472"/>
      <c r="Q74" s="188"/>
      <c r="S74" s="28"/>
      <c r="T74" s="28"/>
      <c r="U74" s="28"/>
      <c r="V74" s="28"/>
      <c r="W74" s="28"/>
    </row>
    <row r="75" spans="1:23" s="36" customFormat="1" ht="13.5" customHeight="1" x14ac:dyDescent="0.25">
      <c r="A75" s="28"/>
      <c r="B75" s="488"/>
      <c r="C75" s="468"/>
      <c r="D75" s="468"/>
      <c r="E75" s="468"/>
      <c r="F75" s="42" t="s">
        <v>76</v>
      </c>
      <c r="G75" s="43">
        <f t="shared" ref="G75" si="106">IF(E74&lt;0.125,"NA",IF(0.125&lt;=E74,(0.2*E74)))</f>
        <v>4.2200000000000001E-2</v>
      </c>
      <c r="H75" s="44"/>
      <c r="I75" s="45"/>
      <c r="J75" s="46">
        <v>0.23599999999999999</v>
      </c>
      <c r="K75" s="468"/>
      <c r="L75" s="468"/>
      <c r="M75" s="468"/>
      <c r="N75" s="468"/>
      <c r="O75" s="468"/>
      <c r="P75" s="473"/>
      <c r="Q75" s="188"/>
      <c r="R75" s="188"/>
      <c r="S75" s="28"/>
      <c r="T75" s="28"/>
      <c r="U75" s="28"/>
      <c r="V75" s="28"/>
      <c r="W75" s="28"/>
    </row>
    <row r="76" spans="1:23" s="36" customFormat="1" ht="13.5" customHeight="1" x14ac:dyDescent="0.25">
      <c r="A76" s="28"/>
      <c r="B76" s="488"/>
      <c r="C76" s="468"/>
      <c r="D76" s="468"/>
      <c r="E76" s="468"/>
      <c r="F76" s="42" t="s">
        <v>77</v>
      </c>
      <c r="G76" s="43">
        <f t="shared" ref="G76" si="107">+E74*0.4</f>
        <v>8.4400000000000003E-2</v>
      </c>
      <c r="H76" s="44"/>
      <c r="I76" s="45"/>
      <c r="J76" s="46">
        <v>0.3</v>
      </c>
      <c r="K76" s="468"/>
      <c r="L76" s="468"/>
      <c r="M76" s="468"/>
      <c r="N76" s="468"/>
      <c r="O76" s="468"/>
      <c r="P76" s="473"/>
      <c r="Q76" s="188"/>
      <c r="R76" s="188"/>
      <c r="S76" s="28"/>
      <c r="T76" s="28"/>
      <c r="U76" s="28"/>
      <c r="V76" s="28"/>
      <c r="W76" s="28"/>
    </row>
    <row r="77" spans="1:23" s="36" customFormat="1" ht="13.5" customHeight="1" x14ac:dyDescent="0.25">
      <c r="A77" s="28"/>
      <c r="B77" s="488"/>
      <c r="C77" s="468"/>
      <c r="D77" s="468"/>
      <c r="E77" s="468"/>
      <c r="F77" s="42" t="s">
        <v>78</v>
      </c>
      <c r="G77" s="43">
        <f t="shared" ref="G77" si="108">IF(E74&lt;0.125,"NA",IF(0.125&lt;=E74,(0.8*E74)))</f>
        <v>0.16880000000000001</v>
      </c>
      <c r="H77" s="44"/>
      <c r="I77" s="45"/>
      <c r="J77" s="46">
        <v>0.377</v>
      </c>
      <c r="K77" s="468"/>
      <c r="L77" s="468"/>
      <c r="M77" s="468"/>
      <c r="N77" s="468"/>
      <c r="O77" s="468"/>
      <c r="P77" s="473"/>
      <c r="Q77" s="188"/>
      <c r="R77" s="188"/>
      <c r="S77" s="28"/>
      <c r="T77" s="28"/>
      <c r="U77" s="28"/>
      <c r="V77" s="28"/>
      <c r="W77" s="28"/>
    </row>
    <row r="78" spans="1:23" s="36" customFormat="1" ht="13.5" customHeight="1" thickBot="1" x14ac:dyDescent="0.3">
      <c r="A78" s="28"/>
      <c r="B78" s="489"/>
      <c r="C78" s="469"/>
      <c r="D78" s="469"/>
      <c r="E78" s="469"/>
      <c r="F78" s="47" t="s">
        <v>79</v>
      </c>
      <c r="G78" s="48">
        <f t="shared" ref="G78" si="109">+E74</f>
        <v>0.21099999999999999</v>
      </c>
      <c r="H78" s="49"/>
      <c r="I78" s="50"/>
      <c r="J78" s="51">
        <v>0.36399999999999999</v>
      </c>
      <c r="K78" s="469"/>
      <c r="L78" s="469"/>
      <c r="M78" s="469"/>
      <c r="N78" s="469"/>
      <c r="O78" s="469"/>
      <c r="P78" s="474"/>
      <c r="Q78" s="188"/>
      <c r="R78" s="188"/>
      <c r="S78" s="28"/>
      <c r="T78" s="28"/>
      <c r="U78" s="28"/>
      <c r="V78" s="28"/>
      <c r="W78" s="28"/>
    </row>
    <row r="79" spans="1:23" s="36" customFormat="1" ht="13.5" customHeight="1" x14ac:dyDescent="0.25">
      <c r="A79" s="28"/>
      <c r="B79" s="487">
        <f t="shared" ref="B79" si="110">+B74+1</f>
        <v>13</v>
      </c>
      <c r="C79" s="490">
        <f t="shared" si="92"/>
        <v>18.07</v>
      </c>
      <c r="D79" s="467">
        <v>0.154</v>
      </c>
      <c r="E79" s="467">
        <v>0.151</v>
      </c>
      <c r="F79" s="37" t="s">
        <v>75</v>
      </c>
      <c r="G79" s="38">
        <v>0</v>
      </c>
      <c r="H79" s="39"/>
      <c r="I79" s="40"/>
      <c r="J79" s="41">
        <v>0.248</v>
      </c>
      <c r="K79" s="467">
        <f t="shared" ref="K79" si="111">+IF(E79&lt;=0.12,(J81),(IF(E79&lt;0.16,((J80+2*J81+J82)/4),IF(E79&gt;=0.16,((J79+3*J80+2*J81+3*J82+J83)/10)))))</f>
        <v>0.28525</v>
      </c>
      <c r="L79" s="467">
        <f t="shared" ref="L79" si="112">ROUND(+(D74+D79)/2*(C79-C74),3)</f>
        <v>0.159</v>
      </c>
      <c r="M79" s="467">
        <f t="shared" ref="M79" si="113">ROUND(+K79*L79,4)</f>
        <v>4.5400000000000003E-2</v>
      </c>
      <c r="N79" s="470">
        <f t="shared" ref="N79" si="114">ROUND(+M79/$M$168*100,2)</f>
        <v>2.42</v>
      </c>
      <c r="O79" s="471"/>
      <c r="P79" s="472"/>
      <c r="Q79" s="188"/>
      <c r="S79" s="28"/>
      <c r="T79" s="28"/>
      <c r="U79" s="28"/>
      <c r="V79" s="28"/>
      <c r="W79" s="28"/>
    </row>
    <row r="80" spans="1:23" s="36" customFormat="1" ht="13.5" customHeight="1" x14ac:dyDescent="0.25">
      <c r="A80" s="28"/>
      <c r="B80" s="488"/>
      <c r="C80" s="468"/>
      <c r="D80" s="468"/>
      <c r="E80" s="468"/>
      <c r="F80" s="42" t="s">
        <v>76</v>
      </c>
      <c r="G80" s="43">
        <f t="shared" ref="G80" si="115">IF(E79&lt;0.125,"NA",IF(0.125&lt;=E79,(0.2*E79)))</f>
        <v>3.0200000000000001E-2</v>
      </c>
      <c r="H80" s="44"/>
      <c r="I80" s="45"/>
      <c r="J80" s="46">
        <v>0.24299999999999999</v>
      </c>
      <c r="K80" s="468"/>
      <c r="L80" s="468"/>
      <c r="M80" s="468"/>
      <c r="N80" s="468"/>
      <c r="O80" s="468"/>
      <c r="P80" s="473"/>
      <c r="Q80" s="188"/>
      <c r="R80" s="188"/>
      <c r="S80" s="28"/>
      <c r="T80" s="28"/>
      <c r="U80" s="28"/>
      <c r="V80" s="28"/>
      <c r="W80" s="28"/>
    </row>
    <row r="81" spans="1:23" s="36" customFormat="1" ht="13.5" customHeight="1" x14ac:dyDescent="0.25">
      <c r="A81" s="28"/>
      <c r="B81" s="488"/>
      <c r="C81" s="468"/>
      <c r="D81" s="468"/>
      <c r="E81" s="468"/>
      <c r="F81" s="42" t="s">
        <v>77</v>
      </c>
      <c r="G81" s="43">
        <f t="shared" ref="G81" si="116">+E79*0.4</f>
        <v>6.0400000000000002E-2</v>
      </c>
      <c r="H81" s="44"/>
      <c r="I81" s="45"/>
      <c r="J81" s="46">
        <v>0.27100000000000002</v>
      </c>
      <c r="K81" s="468"/>
      <c r="L81" s="468"/>
      <c r="M81" s="468"/>
      <c r="N81" s="468"/>
      <c r="O81" s="468"/>
      <c r="P81" s="473"/>
      <c r="Q81" s="188"/>
      <c r="R81" s="188"/>
      <c r="S81" s="28"/>
      <c r="T81" s="28"/>
      <c r="U81" s="28"/>
      <c r="V81" s="28"/>
      <c r="W81" s="28"/>
    </row>
    <row r="82" spans="1:23" s="36" customFormat="1" ht="13.5" customHeight="1" x14ac:dyDescent="0.25">
      <c r="A82" s="28"/>
      <c r="B82" s="488"/>
      <c r="C82" s="468"/>
      <c r="D82" s="468"/>
      <c r="E82" s="468"/>
      <c r="F82" s="42" t="s">
        <v>78</v>
      </c>
      <c r="G82" s="43">
        <f t="shared" ref="G82" si="117">IF(E79&lt;0.125,"NA",IF(0.125&lt;=E79,(0.8*E79)))</f>
        <v>0.1208</v>
      </c>
      <c r="H82" s="44"/>
      <c r="I82" s="45"/>
      <c r="J82" s="46">
        <v>0.35599999999999998</v>
      </c>
      <c r="K82" s="468"/>
      <c r="L82" s="468"/>
      <c r="M82" s="468"/>
      <c r="N82" s="468"/>
      <c r="O82" s="468"/>
      <c r="P82" s="473"/>
      <c r="Q82" s="188"/>
      <c r="R82" s="188"/>
      <c r="S82" s="28"/>
      <c r="T82" s="28"/>
      <c r="U82" s="28"/>
      <c r="V82" s="28"/>
      <c r="W82" s="28"/>
    </row>
    <row r="83" spans="1:23" s="36" customFormat="1" ht="13.5" customHeight="1" thickBot="1" x14ac:dyDescent="0.3">
      <c r="A83" s="28"/>
      <c r="B83" s="489"/>
      <c r="C83" s="469"/>
      <c r="D83" s="469"/>
      <c r="E83" s="469"/>
      <c r="F83" s="47" t="s">
        <v>79</v>
      </c>
      <c r="G83" s="48">
        <f t="shared" ref="G83" si="118">+E79</f>
        <v>0.151</v>
      </c>
      <c r="H83" s="49"/>
      <c r="I83" s="50"/>
      <c r="J83" s="51">
        <v>0.33800000000000002</v>
      </c>
      <c r="K83" s="469"/>
      <c r="L83" s="469"/>
      <c r="M83" s="469"/>
      <c r="N83" s="469"/>
      <c r="O83" s="469"/>
      <c r="P83" s="474"/>
      <c r="Q83" s="188"/>
      <c r="R83" s="188"/>
      <c r="S83" s="28"/>
      <c r="T83" s="28"/>
      <c r="U83" s="28"/>
      <c r="V83" s="28"/>
      <c r="W83" s="28"/>
    </row>
    <row r="84" spans="1:23" s="36" customFormat="1" ht="13.5" customHeight="1" x14ac:dyDescent="0.25">
      <c r="A84" s="28"/>
      <c r="B84" s="487">
        <f t="shared" ref="B84" si="119">+B79+1</f>
        <v>14</v>
      </c>
      <c r="C84" s="490">
        <f t="shared" si="92"/>
        <v>19.07</v>
      </c>
      <c r="D84" s="467">
        <v>0.155</v>
      </c>
      <c r="E84" s="467">
        <v>0.153</v>
      </c>
      <c r="F84" s="37" t="s">
        <v>75</v>
      </c>
      <c r="G84" s="38">
        <v>0</v>
      </c>
      <c r="H84" s="39"/>
      <c r="I84" s="40"/>
      <c r="J84" s="41">
        <v>0.13300000000000001</v>
      </c>
      <c r="K84" s="467">
        <f t="shared" ref="K84" si="120">+IF(E84&lt;=0.12,(J86),(IF(E84&lt;0.16,((J85+2*J86+J87)/4),IF(E84&gt;=0.16,((J84+3*J85+2*J86+3*J87+J88)/10)))))</f>
        <v>0.27625</v>
      </c>
      <c r="L84" s="467">
        <f t="shared" ref="L84" si="121">ROUND(+(D79+D84)/2*(C84-C79),3)</f>
        <v>0.155</v>
      </c>
      <c r="M84" s="467">
        <f t="shared" ref="M84" si="122">ROUND(+K84*L84,4)</f>
        <v>4.2799999999999998E-2</v>
      </c>
      <c r="N84" s="470">
        <f t="shared" ref="N84" si="123">ROUND(+M84/$M$168*100,2)</f>
        <v>2.2799999999999998</v>
      </c>
      <c r="O84" s="471"/>
      <c r="P84" s="472"/>
      <c r="Q84" s="188"/>
      <c r="S84" s="28"/>
      <c r="T84" s="28"/>
      <c r="U84" s="28"/>
      <c r="V84" s="28"/>
      <c r="W84" s="28"/>
    </row>
    <row r="85" spans="1:23" s="36" customFormat="1" ht="13.5" customHeight="1" x14ac:dyDescent="0.25">
      <c r="A85" s="28"/>
      <c r="B85" s="488"/>
      <c r="C85" s="468"/>
      <c r="D85" s="468"/>
      <c r="E85" s="468"/>
      <c r="F85" s="42" t="s">
        <v>76</v>
      </c>
      <c r="G85" s="43">
        <f t="shared" ref="G85" si="124">IF(E84&lt;0.125,"NA",IF(0.125&lt;=E84,(0.2*E84)))</f>
        <v>3.0600000000000002E-2</v>
      </c>
      <c r="H85" s="44"/>
      <c r="I85" s="45"/>
      <c r="J85" s="46">
        <v>0.23899999999999999</v>
      </c>
      <c r="K85" s="468"/>
      <c r="L85" s="468"/>
      <c r="M85" s="468"/>
      <c r="N85" s="468"/>
      <c r="O85" s="468"/>
      <c r="P85" s="473"/>
      <c r="Q85" s="188"/>
      <c r="R85" s="188"/>
      <c r="S85" s="28"/>
      <c r="T85" s="28"/>
      <c r="U85" s="28"/>
      <c r="V85" s="28"/>
      <c r="W85" s="28"/>
    </row>
    <row r="86" spans="1:23" s="36" customFormat="1" ht="13.5" customHeight="1" x14ac:dyDescent="0.25">
      <c r="A86" s="28"/>
      <c r="B86" s="488"/>
      <c r="C86" s="468"/>
      <c r="D86" s="468"/>
      <c r="E86" s="468"/>
      <c r="F86" s="42" t="s">
        <v>77</v>
      </c>
      <c r="G86" s="43">
        <f t="shared" ref="G86" si="125">+E84*0.4</f>
        <v>6.1200000000000004E-2</v>
      </c>
      <c r="H86" s="44"/>
      <c r="I86" s="45"/>
      <c r="J86" s="46">
        <v>0.26800000000000002</v>
      </c>
      <c r="K86" s="468"/>
      <c r="L86" s="468"/>
      <c r="M86" s="468"/>
      <c r="N86" s="468"/>
      <c r="O86" s="468"/>
      <c r="P86" s="473"/>
      <c r="Q86" s="188"/>
      <c r="R86" s="188"/>
      <c r="S86" s="28"/>
      <c r="T86" s="28"/>
      <c r="U86" s="28"/>
      <c r="V86" s="28"/>
      <c r="W86" s="28"/>
    </row>
    <row r="87" spans="1:23" s="36" customFormat="1" ht="13.5" customHeight="1" x14ac:dyDescent="0.25">
      <c r="A87" s="28"/>
      <c r="B87" s="488"/>
      <c r="C87" s="468"/>
      <c r="D87" s="468"/>
      <c r="E87" s="468"/>
      <c r="F87" s="42" t="s">
        <v>78</v>
      </c>
      <c r="G87" s="43">
        <f t="shared" ref="G87" si="126">IF(E84&lt;0.125,"NA",IF(0.125&lt;=E84,(0.8*E84)))</f>
        <v>0.12240000000000001</v>
      </c>
      <c r="H87" s="44"/>
      <c r="I87" s="45"/>
      <c r="J87" s="46">
        <v>0.33</v>
      </c>
      <c r="K87" s="468"/>
      <c r="L87" s="468"/>
      <c r="M87" s="468"/>
      <c r="N87" s="468"/>
      <c r="O87" s="468"/>
      <c r="P87" s="473"/>
      <c r="Q87" s="188"/>
      <c r="R87" s="188"/>
      <c r="S87" s="28"/>
      <c r="T87" s="28"/>
      <c r="U87" s="28"/>
      <c r="V87" s="28"/>
      <c r="W87" s="28"/>
    </row>
    <row r="88" spans="1:23" s="36" customFormat="1" ht="13.5" customHeight="1" thickBot="1" x14ac:dyDescent="0.3">
      <c r="A88" s="28"/>
      <c r="B88" s="489"/>
      <c r="C88" s="469"/>
      <c r="D88" s="469"/>
      <c r="E88" s="469"/>
      <c r="F88" s="47" t="s">
        <v>79</v>
      </c>
      <c r="G88" s="48">
        <f t="shared" ref="G88" si="127">+E84</f>
        <v>0.153</v>
      </c>
      <c r="H88" s="49"/>
      <c r="I88" s="50"/>
      <c r="J88" s="51">
        <v>0.36299999999999999</v>
      </c>
      <c r="K88" s="469"/>
      <c r="L88" s="469"/>
      <c r="M88" s="469"/>
      <c r="N88" s="469"/>
      <c r="O88" s="469"/>
      <c r="P88" s="474"/>
      <c r="Q88" s="188"/>
      <c r="R88" s="188"/>
      <c r="S88" s="28"/>
      <c r="T88" s="28"/>
      <c r="U88" s="28"/>
      <c r="V88" s="28"/>
      <c r="W88" s="28"/>
    </row>
    <row r="89" spans="1:23" s="36" customFormat="1" ht="13.5" customHeight="1" x14ac:dyDescent="0.25">
      <c r="A89" s="28" t="s">
        <v>143</v>
      </c>
      <c r="B89" s="487">
        <f t="shared" ref="B89" si="128">+B84+1</f>
        <v>15</v>
      </c>
      <c r="C89" s="490">
        <f t="shared" si="92"/>
        <v>20.07</v>
      </c>
      <c r="D89" s="467">
        <v>0.19500000000000001</v>
      </c>
      <c r="E89" s="467">
        <v>0.185</v>
      </c>
      <c r="F89" s="37" t="s">
        <v>75</v>
      </c>
      <c r="G89" s="38">
        <v>0</v>
      </c>
      <c r="H89" s="39"/>
      <c r="I89" s="40"/>
      <c r="J89" s="41">
        <v>0.21199999999999999</v>
      </c>
      <c r="K89" s="467">
        <f t="shared" ref="K89" si="129">+IF(E89&lt;=0.12,(J91),(IF(E89&lt;0.16,((J90+2*J91+J92)/4),IF(E89&gt;=0.16,((J89+3*J90+2*J91+3*J92+J93)/10)))))</f>
        <v>0.2727</v>
      </c>
      <c r="L89" s="467">
        <f t="shared" ref="L89" si="130">ROUND(+(D84+D89)/2*(C89-C84),3)</f>
        <v>0.17499999999999999</v>
      </c>
      <c r="M89" s="467">
        <f t="shared" ref="M89" si="131">ROUND(+K89*L89,4)</f>
        <v>4.7699999999999999E-2</v>
      </c>
      <c r="N89" s="470">
        <f t="shared" ref="N89" si="132">ROUND(+M89/$M$168*100,2)</f>
        <v>2.54</v>
      </c>
      <c r="O89" s="471"/>
      <c r="P89" s="472"/>
      <c r="Q89" s="188"/>
      <c r="S89" s="28"/>
      <c r="T89" s="28"/>
      <c r="U89" s="28"/>
      <c r="V89" s="28"/>
      <c r="W89" s="28"/>
    </row>
    <row r="90" spans="1:23" s="36" customFormat="1" ht="13.5" customHeight="1" x14ac:dyDescent="0.25">
      <c r="A90" s="28"/>
      <c r="B90" s="488"/>
      <c r="C90" s="468"/>
      <c r="D90" s="468"/>
      <c r="E90" s="468"/>
      <c r="F90" s="42" t="s">
        <v>76</v>
      </c>
      <c r="G90" s="43">
        <f t="shared" ref="G90" si="133">IF(E89&lt;0.125,"NA",IF(0.125&lt;=E89,(0.2*E89)))</f>
        <v>3.6999999999999998E-2</v>
      </c>
      <c r="H90" s="44"/>
      <c r="I90" s="45"/>
      <c r="J90" s="46">
        <v>0.21299999999999999</v>
      </c>
      <c r="K90" s="468"/>
      <c r="L90" s="468"/>
      <c r="M90" s="468"/>
      <c r="N90" s="468"/>
      <c r="O90" s="468"/>
      <c r="P90" s="473"/>
      <c r="Q90" s="188"/>
      <c r="R90" s="188"/>
      <c r="S90" s="28"/>
      <c r="T90" s="28"/>
      <c r="U90" s="28"/>
      <c r="V90" s="28"/>
      <c r="W90" s="28"/>
    </row>
    <row r="91" spans="1:23" s="36" customFormat="1" ht="13.5" customHeight="1" x14ac:dyDescent="0.25">
      <c r="A91" s="28"/>
      <c r="B91" s="488"/>
      <c r="C91" s="468"/>
      <c r="D91" s="468"/>
      <c r="E91" s="468"/>
      <c r="F91" s="42" t="s">
        <v>77</v>
      </c>
      <c r="G91" s="43">
        <f t="shared" ref="G91" si="134">+E89*0.4</f>
        <v>7.3999999999999996E-2</v>
      </c>
      <c r="H91" s="44"/>
      <c r="I91" s="45"/>
      <c r="J91" s="46">
        <v>0.29499999999999998</v>
      </c>
      <c r="K91" s="468"/>
      <c r="L91" s="468"/>
      <c r="M91" s="468"/>
      <c r="N91" s="468"/>
      <c r="O91" s="468"/>
      <c r="P91" s="473"/>
      <c r="Q91" s="188"/>
      <c r="R91" s="188"/>
      <c r="S91" s="28"/>
      <c r="T91" s="28"/>
      <c r="U91" s="28"/>
      <c r="V91" s="28"/>
      <c r="W91" s="28"/>
    </row>
    <row r="92" spans="1:23" s="36" customFormat="1" ht="13.5" customHeight="1" x14ac:dyDescent="0.25">
      <c r="A92" s="28"/>
      <c r="B92" s="488"/>
      <c r="C92" s="468"/>
      <c r="D92" s="468"/>
      <c r="E92" s="468"/>
      <c r="F92" s="42" t="s">
        <v>78</v>
      </c>
      <c r="G92" s="43">
        <f t="shared" ref="G92" si="135">IF(E89&lt;0.125,"NA",IF(0.125&lt;=E89,(0.8*E89)))</f>
        <v>0.14799999999999999</v>
      </c>
      <c r="H92" s="44"/>
      <c r="I92" s="45"/>
      <c r="J92" s="46">
        <v>0.32100000000000001</v>
      </c>
      <c r="K92" s="468"/>
      <c r="L92" s="468"/>
      <c r="M92" s="468"/>
      <c r="N92" s="468"/>
      <c r="O92" s="468"/>
      <c r="P92" s="473"/>
      <c r="Q92" s="188"/>
      <c r="R92" s="188"/>
      <c r="S92" s="28"/>
      <c r="T92" s="28"/>
      <c r="U92" s="28"/>
      <c r="V92" s="28"/>
      <c r="W92" s="28"/>
    </row>
    <row r="93" spans="1:23" s="36" customFormat="1" ht="13.5" customHeight="1" thickBot="1" x14ac:dyDescent="0.3">
      <c r="A93" s="28"/>
      <c r="B93" s="489"/>
      <c r="C93" s="469"/>
      <c r="D93" s="469"/>
      <c r="E93" s="469"/>
      <c r="F93" s="47" t="s">
        <v>79</v>
      </c>
      <c r="G93" s="48">
        <f t="shared" ref="G93" si="136">+E89</f>
        <v>0.185</v>
      </c>
      <c r="H93" s="49"/>
      <c r="I93" s="50"/>
      <c r="J93" s="51">
        <v>0.32300000000000001</v>
      </c>
      <c r="K93" s="469"/>
      <c r="L93" s="469"/>
      <c r="M93" s="469"/>
      <c r="N93" s="469"/>
      <c r="O93" s="469"/>
      <c r="P93" s="474"/>
      <c r="Q93" s="188"/>
      <c r="R93" s="188"/>
      <c r="S93" s="28"/>
      <c r="T93" s="28"/>
      <c r="U93" s="28"/>
      <c r="V93" s="28"/>
      <c r="W93" s="28"/>
    </row>
    <row r="94" spans="1:23" s="36" customFormat="1" ht="13.5" customHeight="1" x14ac:dyDescent="0.25">
      <c r="A94" s="28"/>
      <c r="B94" s="487">
        <f t="shared" ref="B94" si="137">+B89+1</f>
        <v>16</v>
      </c>
      <c r="C94" s="490">
        <f t="shared" ref="C94:C139" si="138">+C89+$N$12</f>
        <v>21.07</v>
      </c>
      <c r="D94" s="467">
        <v>0.184</v>
      </c>
      <c r="E94" s="467">
        <v>0.182</v>
      </c>
      <c r="F94" s="37" t="s">
        <v>75</v>
      </c>
      <c r="G94" s="38">
        <v>0</v>
      </c>
      <c r="H94" s="39"/>
      <c r="I94" s="40"/>
      <c r="J94" s="41">
        <v>0.16</v>
      </c>
      <c r="K94" s="467">
        <f t="shared" ref="K94" si="139">+IF(E94&lt;=0.12,(J96),(IF(E94&lt;0.16,((J95+2*J96+J97)/4),IF(E94&gt;=0.16,((J94+3*J95+2*J96+3*J97+J98)/10)))))</f>
        <v>0.25060000000000004</v>
      </c>
      <c r="L94" s="467">
        <f t="shared" ref="L94" si="140">ROUND(+(D89+D94)/2*(C94-C89),3)</f>
        <v>0.19</v>
      </c>
      <c r="M94" s="467">
        <f t="shared" ref="M94" si="141">ROUND(+K94*L94,4)</f>
        <v>4.7600000000000003E-2</v>
      </c>
      <c r="N94" s="470">
        <f t="shared" ref="N94" si="142">ROUND(+M94/$M$168*100,2)</f>
        <v>2.54</v>
      </c>
      <c r="O94" s="471"/>
      <c r="P94" s="472"/>
      <c r="Q94" s="188"/>
      <c r="S94" s="28"/>
      <c r="T94" s="28"/>
      <c r="U94" s="28"/>
      <c r="V94" s="28"/>
      <c r="W94" s="28"/>
    </row>
    <row r="95" spans="1:23" s="36" customFormat="1" ht="13.5" customHeight="1" x14ac:dyDescent="0.25">
      <c r="A95" s="28"/>
      <c r="B95" s="488"/>
      <c r="C95" s="468"/>
      <c r="D95" s="468"/>
      <c r="E95" s="468"/>
      <c r="F95" s="42" t="s">
        <v>76</v>
      </c>
      <c r="G95" s="43">
        <f t="shared" ref="G95" si="143">IF(E94&lt;0.125,"NA",IF(0.125&lt;=E94,(0.2*E94)))</f>
        <v>3.6400000000000002E-2</v>
      </c>
      <c r="H95" s="44"/>
      <c r="I95" s="45"/>
      <c r="J95" s="46">
        <v>0.20699999999999999</v>
      </c>
      <c r="K95" s="468"/>
      <c r="L95" s="468"/>
      <c r="M95" s="468"/>
      <c r="N95" s="468"/>
      <c r="O95" s="468"/>
      <c r="P95" s="473"/>
      <c r="Q95" s="188"/>
      <c r="R95" s="188"/>
      <c r="S95" s="28"/>
      <c r="T95" s="28"/>
      <c r="U95" s="28"/>
      <c r="V95" s="28"/>
      <c r="W95" s="28"/>
    </row>
    <row r="96" spans="1:23" s="36" customFormat="1" ht="13.5" customHeight="1" x14ac:dyDescent="0.25">
      <c r="A96" s="28"/>
      <c r="B96" s="488"/>
      <c r="C96" s="468"/>
      <c r="D96" s="468"/>
      <c r="E96" s="468"/>
      <c r="F96" s="42" t="s">
        <v>77</v>
      </c>
      <c r="G96" s="43">
        <f t="shared" ref="G96" si="144">+E94*0.4</f>
        <v>7.2800000000000004E-2</v>
      </c>
      <c r="H96" s="44"/>
      <c r="I96" s="45"/>
      <c r="J96" s="46">
        <v>0.27200000000000002</v>
      </c>
      <c r="K96" s="468"/>
      <c r="L96" s="468"/>
      <c r="M96" s="468"/>
      <c r="N96" s="468"/>
      <c r="O96" s="468"/>
      <c r="P96" s="473"/>
      <c r="Q96" s="188"/>
      <c r="R96" s="188"/>
      <c r="S96" s="28"/>
      <c r="T96" s="28"/>
      <c r="U96" s="28"/>
      <c r="V96" s="28"/>
      <c r="W96" s="28"/>
    </row>
    <row r="97" spans="1:23" s="36" customFormat="1" ht="13.5" customHeight="1" x14ac:dyDescent="0.25">
      <c r="A97" s="28"/>
      <c r="B97" s="488"/>
      <c r="C97" s="468"/>
      <c r="D97" s="468"/>
      <c r="E97" s="468"/>
      <c r="F97" s="42" t="s">
        <v>78</v>
      </c>
      <c r="G97" s="43">
        <f t="shared" ref="G97" si="145">IF(E94&lt;0.125,"NA",IF(0.125&lt;=E94,(0.8*E94)))</f>
        <v>0.14560000000000001</v>
      </c>
      <c r="H97" s="44"/>
      <c r="I97" s="45"/>
      <c r="J97" s="46">
        <v>0.28799999999999998</v>
      </c>
      <c r="K97" s="468"/>
      <c r="L97" s="468"/>
      <c r="M97" s="468"/>
      <c r="N97" s="468"/>
      <c r="O97" s="468"/>
      <c r="P97" s="473"/>
      <c r="Q97" s="188"/>
      <c r="R97" s="188"/>
      <c r="S97" s="28"/>
      <c r="T97" s="28"/>
      <c r="U97" s="28"/>
      <c r="V97" s="28"/>
      <c r="W97" s="28"/>
    </row>
    <row r="98" spans="1:23" s="36" customFormat="1" ht="13.5" customHeight="1" thickBot="1" x14ac:dyDescent="0.3">
      <c r="A98" s="28"/>
      <c r="B98" s="489"/>
      <c r="C98" s="469"/>
      <c r="D98" s="469"/>
      <c r="E98" s="469"/>
      <c r="F98" s="47" t="s">
        <v>79</v>
      </c>
      <c r="G98" s="48">
        <f t="shared" ref="G98" si="146">+E94</f>
        <v>0.182</v>
      </c>
      <c r="H98" s="49"/>
      <c r="I98" s="50"/>
      <c r="J98" s="51">
        <v>0.317</v>
      </c>
      <c r="K98" s="469"/>
      <c r="L98" s="469"/>
      <c r="M98" s="469"/>
      <c r="N98" s="469"/>
      <c r="O98" s="469"/>
      <c r="P98" s="474"/>
      <c r="Q98" s="188"/>
      <c r="R98" s="188"/>
      <c r="S98" s="28"/>
      <c r="T98" s="28"/>
      <c r="U98" s="28"/>
      <c r="V98" s="28"/>
      <c r="W98" s="28"/>
    </row>
    <row r="99" spans="1:23" s="36" customFormat="1" ht="13.5" customHeight="1" x14ac:dyDescent="0.25">
      <c r="A99" s="28"/>
      <c r="B99" s="487">
        <f t="shared" ref="B99" si="147">+B94+1</f>
        <v>17</v>
      </c>
      <c r="C99" s="490">
        <f t="shared" si="138"/>
        <v>22.07</v>
      </c>
      <c r="D99" s="467">
        <v>0.25</v>
      </c>
      <c r="E99" s="467">
        <v>0.214</v>
      </c>
      <c r="F99" s="37" t="s">
        <v>75</v>
      </c>
      <c r="G99" s="38">
        <v>0</v>
      </c>
      <c r="H99" s="39"/>
      <c r="I99" s="40"/>
      <c r="J99" s="41">
        <v>0.20799999999999999</v>
      </c>
      <c r="K99" s="467">
        <f t="shared" ref="K99" si="148">+IF(E99&lt;=0.12,(J101),(IF(E99&lt;0.16,((J100+2*J101+J102)/4),IF(E99&gt;=0.16,((J99+3*J100+2*J101+3*J102+J103)/10)))))</f>
        <v>0.27650000000000002</v>
      </c>
      <c r="L99" s="467">
        <f t="shared" ref="L99" si="149">ROUND(+(D94+D99)/2*(C99-C94),3)</f>
        <v>0.217</v>
      </c>
      <c r="M99" s="467">
        <f t="shared" ref="M99" si="150">ROUND(+K99*L99,4)</f>
        <v>0.06</v>
      </c>
      <c r="N99" s="470">
        <f t="shared" ref="N99" si="151">ROUND(+M99/$M$168*100,2)</f>
        <v>3.2</v>
      </c>
      <c r="O99" s="471"/>
      <c r="P99" s="472"/>
      <c r="Q99" s="188"/>
      <c r="S99" s="28"/>
      <c r="T99" s="28"/>
      <c r="U99" s="28"/>
      <c r="V99" s="28"/>
      <c r="W99" s="28"/>
    </row>
    <row r="100" spans="1:23" s="36" customFormat="1" ht="13.5" customHeight="1" x14ac:dyDescent="0.25">
      <c r="A100" s="28"/>
      <c r="B100" s="488"/>
      <c r="C100" s="468"/>
      <c r="D100" s="468"/>
      <c r="E100" s="468"/>
      <c r="F100" s="42" t="s">
        <v>76</v>
      </c>
      <c r="G100" s="43">
        <f t="shared" ref="G100" si="152">IF(E99&lt;0.125,"NA",IF(0.125&lt;=E99,(0.2*E99)))</f>
        <v>4.2800000000000005E-2</v>
      </c>
      <c r="H100" s="44"/>
      <c r="I100" s="45"/>
      <c r="J100" s="46">
        <v>0.26200000000000001</v>
      </c>
      <c r="K100" s="468"/>
      <c r="L100" s="468"/>
      <c r="M100" s="468"/>
      <c r="N100" s="468"/>
      <c r="O100" s="468"/>
      <c r="P100" s="473"/>
      <c r="Q100" s="188"/>
      <c r="R100" s="188"/>
      <c r="S100" s="28"/>
      <c r="T100" s="28"/>
      <c r="U100" s="28"/>
      <c r="V100" s="28"/>
      <c r="W100" s="28"/>
    </row>
    <row r="101" spans="1:23" s="36" customFormat="1" ht="13.5" customHeight="1" x14ac:dyDescent="0.25">
      <c r="A101" s="28"/>
      <c r="B101" s="488"/>
      <c r="C101" s="468"/>
      <c r="D101" s="468"/>
      <c r="E101" s="468"/>
      <c r="F101" s="42" t="s">
        <v>77</v>
      </c>
      <c r="G101" s="43">
        <f t="shared" ref="G101" si="153">+E99*0.4</f>
        <v>8.5600000000000009E-2</v>
      </c>
      <c r="H101" s="44"/>
      <c r="I101" s="45"/>
      <c r="J101" s="46">
        <v>0.27</v>
      </c>
      <c r="K101" s="468"/>
      <c r="L101" s="468"/>
      <c r="M101" s="468"/>
      <c r="N101" s="468"/>
      <c r="O101" s="468"/>
      <c r="P101" s="473"/>
      <c r="Q101" s="188"/>
      <c r="R101" s="188"/>
      <c r="S101" s="28"/>
      <c r="T101" s="28"/>
      <c r="U101" s="28"/>
      <c r="V101" s="28"/>
      <c r="W101" s="28"/>
    </row>
    <row r="102" spans="1:23" s="36" customFormat="1" ht="13.5" customHeight="1" x14ac:dyDescent="0.25">
      <c r="A102" s="28"/>
      <c r="B102" s="488"/>
      <c r="C102" s="468"/>
      <c r="D102" s="468"/>
      <c r="E102" s="468"/>
      <c r="F102" s="42" t="s">
        <v>78</v>
      </c>
      <c r="G102" s="43">
        <f t="shared" ref="G102" si="154">IF(E99&lt;0.125,"NA",IF(0.125&lt;=E99,(0.8*E99)))</f>
        <v>0.17120000000000002</v>
      </c>
      <c r="H102" s="44"/>
      <c r="I102" s="45"/>
      <c r="J102" s="46">
        <v>0.311</v>
      </c>
      <c r="K102" s="468"/>
      <c r="L102" s="468"/>
      <c r="M102" s="468"/>
      <c r="N102" s="468"/>
      <c r="O102" s="468"/>
      <c r="P102" s="473"/>
      <c r="Q102" s="188"/>
      <c r="R102" s="188"/>
      <c r="S102" s="28"/>
      <c r="T102" s="28"/>
      <c r="U102" s="28"/>
      <c r="V102" s="28"/>
      <c r="W102" s="28"/>
    </row>
    <row r="103" spans="1:23" s="36" customFormat="1" ht="13.5" customHeight="1" thickBot="1" x14ac:dyDescent="0.3">
      <c r="A103" s="28"/>
      <c r="B103" s="489"/>
      <c r="C103" s="469"/>
      <c r="D103" s="469"/>
      <c r="E103" s="469"/>
      <c r="F103" s="47" t="s">
        <v>79</v>
      </c>
      <c r="G103" s="48">
        <f t="shared" ref="G103" si="155">+E99</f>
        <v>0.214</v>
      </c>
      <c r="H103" s="49"/>
      <c r="I103" s="50"/>
      <c r="J103" s="51">
        <v>0.29799999999999999</v>
      </c>
      <c r="K103" s="469"/>
      <c r="L103" s="469"/>
      <c r="M103" s="469"/>
      <c r="N103" s="469"/>
      <c r="O103" s="469"/>
      <c r="P103" s="474"/>
      <c r="Q103" s="188"/>
      <c r="R103" s="188"/>
      <c r="S103" s="28"/>
      <c r="T103" s="28"/>
      <c r="U103" s="28"/>
      <c r="V103" s="28"/>
      <c r="W103" s="28"/>
    </row>
    <row r="104" spans="1:23" s="36" customFormat="1" ht="13.5" customHeight="1" x14ac:dyDescent="0.25">
      <c r="A104" s="28"/>
      <c r="B104" s="487">
        <f t="shared" ref="B104" si="156">+B99+1</f>
        <v>18</v>
      </c>
      <c r="C104" s="490">
        <f t="shared" si="138"/>
        <v>23.07</v>
      </c>
      <c r="D104" s="467">
        <v>0.23</v>
      </c>
      <c r="E104" s="467">
        <v>0.255</v>
      </c>
      <c r="F104" s="37" t="s">
        <v>75</v>
      </c>
      <c r="G104" s="38">
        <v>0</v>
      </c>
      <c r="H104" s="39"/>
      <c r="I104" s="40"/>
      <c r="J104" s="41">
        <v>0.11600000000000001</v>
      </c>
      <c r="K104" s="467">
        <f t="shared" ref="K104" si="157">+IF(E104&lt;=0.12,(J106),(IF(E104&lt;0.16,((J105+2*J106+J107)/4),IF(E104&gt;=0.16,((J104+3*J105+2*J106+3*J107+J108)/10)))))</f>
        <v>0.21949999999999997</v>
      </c>
      <c r="L104" s="467">
        <f t="shared" ref="L104" si="158">ROUND(+(D99+D104)/2*(C104-C99),3)</f>
        <v>0.24</v>
      </c>
      <c r="M104" s="467">
        <f t="shared" ref="M104" si="159">ROUND(+K104*L104,4)</f>
        <v>5.2699999999999997E-2</v>
      </c>
      <c r="N104" s="470">
        <f t="shared" ref="N104" si="160">ROUND(+M104/$M$168*100,2)</f>
        <v>2.81</v>
      </c>
      <c r="O104" s="471"/>
      <c r="P104" s="472"/>
      <c r="Q104" s="188"/>
      <c r="S104" s="28"/>
      <c r="T104" s="28"/>
      <c r="U104" s="28"/>
      <c r="V104" s="28"/>
      <c r="W104" s="28"/>
    </row>
    <row r="105" spans="1:23" s="36" customFormat="1" ht="13.5" customHeight="1" x14ac:dyDescent="0.25">
      <c r="A105" s="28"/>
      <c r="B105" s="488"/>
      <c r="C105" s="468"/>
      <c r="D105" s="468"/>
      <c r="E105" s="468"/>
      <c r="F105" s="42" t="s">
        <v>76</v>
      </c>
      <c r="G105" s="43">
        <f t="shared" ref="G105" si="161">IF(E104&lt;0.125,"NA",IF(0.125&lt;=E104,(0.2*E104)))</f>
        <v>5.1000000000000004E-2</v>
      </c>
      <c r="H105" s="44"/>
      <c r="I105" s="45"/>
      <c r="J105" s="46">
        <v>0.17499999999999999</v>
      </c>
      <c r="K105" s="468"/>
      <c r="L105" s="468"/>
      <c r="M105" s="468"/>
      <c r="N105" s="468"/>
      <c r="O105" s="468"/>
      <c r="P105" s="473"/>
      <c r="Q105" s="188"/>
      <c r="R105" s="188"/>
      <c r="S105" s="28"/>
      <c r="T105" s="28"/>
      <c r="U105" s="28"/>
      <c r="V105" s="28"/>
      <c r="W105" s="28"/>
    </row>
    <row r="106" spans="1:23" s="36" customFormat="1" ht="13.5" customHeight="1" x14ac:dyDescent="0.25">
      <c r="A106" s="28"/>
      <c r="B106" s="488"/>
      <c r="C106" s="468"/>
      <c r="D106" s="468"/>
      <c r="E106" s="468"/>
      <c r="F106" s="42" t="s">
        <v>77</v>
      </c>
      <c r="G106" s="43">
        <f t="shared" ref="G106" si="162">+E104*0.4</f>
        <v>0.10200000000000001</v>
      </c>
      <c r="H106" s="44"/>
      <c r="I106" s="45"/>
      <c r="J106" s="46">
        <v>0.23</v>
      </c>
      <c r="K106" s="468"/>
      <c r="L106" s="468"/>
      <c r="M106" s="468"/>
      <c r="N106" s="468"/>
      <c r="O106" s="468"/>
      <c r="P106" s="473"/>
      <c r="Q106" s="188"/>
      <c r="R106" s="188"/>
      <c r="S106" s="28"/>
      <c r="T106" s="28"/>
      <c r="U106" s="28"/>
      <c r="V106" s="28"/>
      <c r="W106" s="28"/>
    </row>
    <row r="107" spans="1:23" s="36" customFormat="1" ht="13.5" customHeight="1" x14ac:dyDescent="0.25">
      <c r="A107" s="28"/>
      <c r="B107" s="488"/>
      <c r="C107" s="468"/>
      <c r="D107" s="468"/>
      <c r="E107" s="468"/>
      <c r="F107" s="42" t="s">
        <v>78</v>
      </c>
      <c r="G107" s="43">
        <f t="shared" ref="G107" si="163">IF(E104&lt;0.125,"NA",IF(0.125&lt;=E104,(0.8*E104)))</f>
        <v>0.20400000000000001</v>
      </c>
      <c r="H107" s="44"/>
      <c r="I107" s="45"/>
      <c r="J107" s="46">
        <v>0.27</v>
      </c>
      <c r="K107" s="468"/>
      <c r="L107" s="468"/>
      <c r="M107" s="468"/>
      <c r="N107" s="468"/>
      <c r="O107" s="468"/>
      <c r="P107" s="473"/>
      <c r="Q107" s="188"/>
      <c r="R107" s="188"/>
      <c r="S107" s="28"/>
      <c r="T107" s="28"/>
      <c r="U107" s="28"/>
      <c r="V107" s="28"/>
      <c r="W107" s="28"/>
    </row>
    <row r="108" spans="1:23" s="36" customFormat="1" ht="13.5" customHeight="1" thickBot="1" x14ac:dyDescent="0.3">
      <c r="A108" s="28"/>
      <c r="B108" s="489"/>
      <c r="C108" s="469"/>
      <c r="D108" s="469"/>
      <c r="E108" s="469"/>
      <c r="F108" s="47" t="s">
        <v>79</v>
      </c>
      <c r="G108" s="48">
        <f t="shared" ref="G108" si="164">+E104</f>
        <v>0.255</v>
      </c>
      <c r="H108" s="49"/>
      <c r="I108" s="50"/>
      <c r="J108" s="51">
        <v>0.28399999999999997</v>
      </c>
      <c r="K108" s="469"/>
      <c r="L108" s="469"/>
      <c r="M108" s="469"/>
      <c r="N108" s="469"/>
      <c r="O108" s="469"/>
      <c r="P108" s="474"/>
      <c r="Q108" s="188"/>
      <c r="R108" s="188"/>
      <c r="S108" s="28"/>
      <c r="T108" s="28"/>
      <c r="U108" s="28"/>
      <c r="V108" s="28"/>
      <c r="W108" s="28"/>
    </row>
    <row r="109" spans="1:23" s="36" customFormat="1" ht="13.5" customHeight="1" x14ac:dyDescent="0.25">
      <c r="A109" s="28"/>
      <c r="B109" s="487">
        <f t="shared" ref="B109" si="165">+B104+1</f>
        <v>19</v>
      </c>
      <c r="C109" s="490">
        <f t="shared" si="138"/>
        <v>24.07</v>
      </c>
      <c r="D109" s="467">
        <v>0.20399999999999999</v>
      </c>
      <c r="E109" s="467">
        <v>0.19</v>
      </c>
      <c r="F109" s="37" t="s">
        <v>75</v>
      </c>
      <c r="G109" s="38">
        <v>0</v>
      </c>
      <c r="H109" s="39"/>
      <c r="I109" s="40"/>
      <c r="J109" s="41">
        <v>0.13700000000000001</v>
      </c>
      <c r="K109" s="467">
        <f t="shared" ref="K109" si="166">+IF(E109&lt;=0.12,(J111),(IF(E109&lt;0.16,((J110+2*J111+J112)/4),IF(E109&gt;=0.16,((J109+3*J110+2*J111+3*J112+J113)/10)))))</f>
        <v>0.2069</v>
      </c>
      <c r="L109" s="467">
        <f t="shared" ref="L109" si="167">ROUND(+(D104+D109)/2*(C109-C104),3)</f>
        <v>0.217</v>
      </c>
      <c r="M109" s="467">
        <f t="shared" ref="M109" si="168">ROUND(+K109*L109,4)</f>
        <v>4.4900000000000002E-2</v>
      </c>
      <c r="N109" s="470">
        <f t="shared" ref="N109" si="169">ROUND(+M109/$M$168*100,2)</f>
        <v>2.39</v>
      </c>
      <c r="O109" s="471"/>
      <c r="P109" s="472"/>
      <c r="Q109" s="188"/>
      <c r="S109" s="28"/>
      <c r="T109" s="28"/>
      <c r="U109" s="28"/>
      <c r="V109" s="28"/>
      <c r="W109" s="28"/>
    </row>
    <row r="110" spans="1:23" s="36" customFormat="1" ht="13.5" customHeight="1" x14ac:dyDescent="0.25">
      <c r="A110" s="28"/>
      <c r="B110" s="488"/>
      <c r="C110" s="468"/>
      <c r="D110" s="468"/>
      <c r="E110" s="468"/>
      <c r="F110" s="42" t="s">
        <v>76</v>
      </c>
      <c r="G110" s="43">
        <f t="shared" ref="G110" si="170">IF(E109&lt;0.125,"NA",IF(0.125&lt;=E109,(0.2*E109)))</f>
        <v>3.8000000000000006E-2</v>
      </c>
      <c r="H110" s="44"/>
      <c r="I110" s="45"/>
      <c r="J110" s="46">
        <v>0.17</v>
      </c>
      <c r="K110" s="468"/>
      <c r="L110" s="468"/>
      <c r="M110" s="468"/>
      <c r="N110" s="468"/>
      <c r="O110" s="468"/>
      <c r="P110" s="473"/>
      <c r="Q110" s="188"/>
      <c r="R110" s="188"/>
      <c r="S110" s="28"/>
      <c r="T110" s="28"/>
      <c r="U110" s="28"/>
      <c r="V110" s="28"/>
      <c r="W110" s="28"/>
    </row>
    <row r="111" spans="1:23" s="36" customFormat="1" ht="13.5" customHeight="1" x14ac:dyDescent="0.25">
      <c r="A111" s="28"/>
      <c r="B111" s="488"/>
      <c r="C111" s="468"/>
      <c r="D111" s="468"/>
      <c r="E111" s="468"/>
      <c r="F111" s="42" t="s">
        <v>77</v>
      </c>
      <c r="G111" s="43">
        <f t="shared" ref="G111" si="171">+E109*0.4</f>
        <v>7.6000000000000012E-2</v>
      </c>
      <c r="H111" s="44"/>
      <c r="I111" s="45"/>
      <c r="J111" s="46">
        <v>0.22900000000000001</v>
      </c>
      <c r="K111" s="468"/>
      <c r="L111" s="468"/>
      <c r="M111" s="468"/>
      <c r="N111" s="468"/>
      <c r="O111" s="468"/>
      <c r="P111" s="473"/>
      <c r="Q111" s="188"/>
      <c r="R111" s="188"/>
      <c r="S111" s="28"/>
      <c r="T111" s="28"/>
      <c r="U111" s="28"/>
      <c r="V111" s="28"/>
      <c r="W111" s="28"/>
    </row>
    <row r="112" spans="1:23" s="36" customFormat="1" ht="13.5" customHeight="1" x14ac:dyDescent="0.25">
      <c r="A112" s="28"/>
      <c r="B112" s="488"/>
      <c r="C112" s="468"/>
      <c r="D112" s="468"/>
      <c r="E112" s="468"/>
      <c r="F112" s="42" t="s">
        <v>78</v>
      </c>
      <c r="G112" s="43">
        <f t="shared" ref="G112" si="172">IF(E109&lt;0.125,"NA",IF(0.125&lt;=E109,(0.8*E109)))</f>
        <v>0.15200000000000002</v>
      </c>
      <c r="H112" s="44"/>
      <c r="I112" s="45"/>
      <c r="J112" s="46">
        <v>0.23799999999999999</v>
      </c>
      <c r="K112" s="468"/>
      <c r="L112" s="468"/>
      <c r="M112" s="468"/>
      <c r="N112" s="468"/>
      <c r="O112" s="468"/>
      <c r="P112" s="473"/>
      <c r="Q112" s="188"/>
      <c r="R112" s="188"/>
      <c r="S112" s="28"/>
      <c r="T112" s="28"/>
      <c r="U112" s="28"/>
      <c r="V112" s="28"/>
      <c r="W112" s="28"/>
    </row>
    <row r="113" spans="1:23" s="36" customFormat="1" ht="13.5" customHeight="1" thickBot="1" x14ac:dyDescent="0.3">
      <c r="A113" s="28"/>
      <c r="B113" s="489"/>
      <c r="C113" s="469"/>
      <c r="D113" s="469"/>
      <c r="E113" s="469"/>
      <c r="F113" s="47" t="s">
        <v>79</v>
      </c>
      <c r="G113" s="48">
        <f t="shared" ref="G113" si="173">+E109</f>
        <v>0.19</v>
      </c>
      <c r="H113" s="49"/>
      <c r="I113" s="50"/>
      <c r="J113" s="51">
        <v>0.25</v>
      </c>
      <c r="K113" s="469"/>
      <c r="L113" s="469"/>
      <c r="M113" s="469"/>
      <c r="N113" s="469"/>
      <c r="O113" s="469"/>
      <c r="P113" s="474"/>
      <c r="Q113" s="188"/>
      <c r="R113" s="188"/>
      <c r="S113" s="28"/>
      <c r="T113" s="28"/>
      <c r="U113" s="28"/>
      <c r="V113" s="28"/>
      <c r="W113" s="28"/>
    </row>
    <row r="114" spans="1:23" s="36" customFormat="1" ht="13.5" customHeight="1" x14ac:dyDescent="0.25">
      <c r="A114" s="28"/>
      <c r="B114" s="487">
        <f t="shared" ref="B114" si="174">+B109+1</f>
        <v>20</v>
      </c>
      <c r="C114" s="490">
        <f t="shared" si="138"/>
        <v>25.07</v>
      </c>
      <c r="D114" s="467">
        <v>0.24</v>
      </c>
      <c r="E114" s="467">
        <v>0.187</v>
      </c>
      <c r="F114" s="37" t="s">
        <v>75</v>
      </c>
      <c r="G114" s="38">
        <v>0</v>
      </c>
      <c r="H114" s="39"/>
      <c r="I114" s="40"/>
      <c r="J114" s="41">
        <v>0.152</v>
      </c>
      <c r="K114" s="467">
        <f t="shared" ref="K114" si="175">+IF(E114&lt;=0.12,(J116),(IF(E114&lt;0.16,((J115+2*J116+J117)/4),IF(E114&gt;=0.16,((J114+3*J115+2*J116+3*J117+J118)/10)))))</f>
        <v>0.1883</v>
      </c>
      <c r="L114" s="467">
        <f t="shared" ref="L114" si="176">ROUND(+(D109+D114)/2*(C114-C109),3)</f>
        <v>0.222</v>
      </c>
      <c r="M114" s="467">
        <f t="shared" ref="M114" si="177">ROUND(+K114*L114,4)</f>
        <v>4.1799999999999997E-2</v>
      </c>
      <c r="N114" s="470">
        <f t="shared" ref="N114" si="178">ROUND(+M114/$M$168*100,2)</f>
        <v>2.23</v>
      </c>
      <c r="O114" s="471"/>
      <c r="P114" s="472"/>
      <c r="Q114" s="188"/>
      <c r="S114" s="28"/>
      <c r="T114" s="28"/>
      <c r="U114" s="28"/>
      <c r="V114" s="28"/>
      <c r="W114" s="28"/>
    </row>
    <row r="115" spans="1:23" s="36" customFormat="1" ht="13.5" customHeight="1" x14ac:dyDescent="0.25">
      <c r="A115" s="28"/>
      <c r="B115" s="488"/>
      <c r="C115" s="468"/>
      <c r="D115" s="468"/>
      <c r="E115" s="468"/>
      <c r="F115" s="42" t="s">
        <v>76</v>
      </c>
      <c r="G115" s="43">
        <f t="shared" ref="G115" si="179">IF(E114&lt;0.125,"NA",IF(0.125&lt;=E114,(0.2*E114)))</f>
        <v>3.7400000000000003E-2</v>
      </c>
      <c r="H115" s="44"/>
      <c r="I115" s="45"/>
      <c r="J115" s="46">
        <v>0.14000000000000001</v>
      </c>
      <c r="K115" s="468"/>
      <c r="L115" s="468"/>
      <c r="M115" s="468"/>
      <c r="N115" s="468"/>
      <c r="O115" s="468"/>
      <c r="P115" s="473"/>
      <c r="Q115" s="188"/>
      <c r="R115" s="188"/>
      <c r="S115" s="28"/>
      <c r="T115" s="28"/>
      <c r="U115" s="28"/>
      <c r="V115" s="28"/>
      <c r="W115" s="28"/>
    </row>
    <row r="116" spans="1:23" s="36" customFormat="1" ht="13.5" customHeight="1" x14ac:dyDescent="0.25">
      <c r="A116" s="28"/>
      <c r="B116" s="488"/>
      <c r="C116" s="468"/>
      <c r="D116" s="468"/>
      <c r="E116" s="468"/>
      <c r="F116" s="42" t="s">
        <v>77</v>
      </c>
      <c r="G116" s="43">
        <f t="shared" ref="G116" si="180">+E114*0.4</f>
        <v>7.4800000000000005E-2</v>
      </c>
      <c r="H116" s="44"/>
      <c r="I116" s="45"/>
      <c r="J116" s="46">
        <v>0.17799999999999999</v>
      </c>
      <c r="K116" s="468"/>
      <c r="L116" s="468"/>
      <c r="M116" s="468"/>
      <c r="N116" s="468"/>
      <c r="O116" s="468"/>
      <c r="P116" s="473"/>
      <c r="Q116" s="188"/>
      <c r="R116" s="188"/>
      <c r="S116" s="28"/>
      <c r="T116" s="28"/>
      <c r="U116" s="28"/>
      <c r="V116" s="28"/>
      <c r="W116" s="28"/>
    </row>
    <row r="117" spans="1:23" s="36" customFormat="1" ht="13.5" customHeight="1" x14ac:dyDescent="0.25">
      <c r="A117" s="28"/>
      <c r="B117" s="488"/>
      <c r="C117" s="468"/>
      <c r="D117" s="468"/>
      <c r="E117" s="468"/>
      <c r="F117" s="42" t="s">
        <v>78</v>
      </c>
      <c r="G117" s="43">
        <f t="shared" ref="G117" si="181">IF(E114&lt;0.125,"NA",IF(0.125&lt;=E114,(0.8*E114)))</f>
        <v>0.14960000000000001</v>
      </c>
      <c r="H117" s="44"/>
      <c r="I117" s="45"/>
      <c r="J117" s="46">
        <v>0.23699999999999999</v>
      </c>
      <c r="K117" s="468"/>
      <c r="L117" s="468"/>
      <c r="M117" s="468"/>
      <c r="N117" s="468"/>
      <c r="O117" s="468"/>
      <c r="P117" s="473"/>
      <c r="Q117" s="188"/>
      <c r="R117" s="188"/>
      <c r="S117" s="28"/>
      <c r="T117" s="28"/>
      <c r="U117" s="28"/>
      <c r="V117" s="28"/>
      <c r="W117" s="28"/>
    </row>
    <row r="118" spans="1:23" s="36" customFormat="1" ht="13.5" customHeight="1" thickBot="1" x14ac:dyDescent="0.3">
      <c r="A118" s="28"/>
      <c r="B118" s="489"/>
      <c r="C118" s="469"/>
      <c r="D118" s="469"/>
      <c r="E118" s="469"/>
      <c r="F118" s="47" t="s">
        <v>79</v>
      </c>
      <c r="G118" s="48">
        <f t="shared" ref="G118" si="182">+E114</f>
        <v>0.187</v>
      </c>
      <c r="H118" s="49"/>
      <c r="I118" s="50"/>
      <c r="J118" s="51">
        <v>0.24399999999999999</v>
      </c>
      <c r="K118" s="469"/>
      <c r="L118" s="469"/>
      <c r="M118" s="469"/>
      <c r="N118" s="469"/>
      <c r="O118" s="469"/>
      <c r="P118" s="474"/>
      <c r="Q118" s="188"/>
      <c r="R118" s="188"/>
      <c r="S118" s="28"/>
      <c r="T118" s="28"/>
      <c r="U118" s="28"/>
      <c r="V118" s="28"/>
      <c r="W118" s="28"/>
    </row>
    <row r="119" spans="1:23" s="36" customFormat="1" ht="13.5" customHeight="1" x14ac:dyDescent="0.25">
      <c r="A119" s="28" t="s">
        <v>143</v>
      </c>
      <c r="B119" s="487">
        <f t="shared" ref="B119" si="183">+B114+1</f>
        <v>21</v>
      </c>
      <c r="C119" s="490">
        <f t="shared" si="138"/>
        <v>26.07</v>
      </c>
      <c r="D119" s="467">
        <v>0.27300000000000002</v>
      </c>
      <c r="E119" s="467">
        <v>0.25800000000000001</v>
      </c>
      <c r="F119" s="37" t="s">
        <v>75</v>
      </c>
      <c r="G119" s="38">
        <v>0</v>
      </c>
      <c r="H119" s="39"/>
      <c r="I119" s="40"/>
      <c r="J119" s="41">
        <v>8.7999999999999995E-2</v>
      </c>
      <c r="K119" s="467">
        <f t="shared" ref="K119" si="184">+IF(E119&lt;=0.12,(J121),(IF(E119&lt;0.16,((J120+2*J121+J122)/4),IF(E119&gt;=0.16,((J119+3*J120+2*J121+3*J122+J123)/10)))))</f>
        <v>0.1966</v>
      </c>
      <c r="L119" s="467">
        <f t="shared" ref="L119" si="185">ROUND(+(D114+D119)/2*(C119-C114),3)</f>
        <v>0.25700000000000001</v>
      </c>
      <c r="M119" s="467">
        <f t="shared" ref="M119" si="186">ROUND(+K119*L119,4)</f>
        <v>5.0500000000000003E-2</v>
      </c>
      <c r="N119" s="470">
        <f t="shared" ref="N119" si="187">ROUND(+M119/$M$168*100,2)</f>
        <v>2.69</v>
      </c>
      <c r="O119" s="471"/>
      <c r="P119" s="472"/>
      <c r="Q119" s="188"/>
      <c r="S119" s="28"/>
      <c r="T119" s="28"/>
      <c r="U119" s="28"/>
      <c r="V119" s="28"/>
      <c r="W119" s="28"/>
    </row>
    <row r="120" spans="1:23" s="36" customFormat="1" ht="13.5" customHeight="1" x14ac:dyDescent="0.25">
      <c r="A120" s="28"/>
      <c r="B120" s="488"/>
      <c r="C120" s="468"/>
      <c r="D120" s="468"/>
      <c r="E120" s="468"/>
      <c r="F120" s="42" t="s">
        <v>76</v>
      </c>
      <c r="G120" s="43">
        <f t="shared" ref="G120" si="188">IF(E119&lt;0.125,"NA",IF(0.125&lt;=E119,(0.2*E119)))</f>
        <v>5.1600000000000007E-2</v>
      </c>
      <c r="H120" s="44"/>
      <c r="I120" s="45"/>
      <c r="J120" s="46">
        <v>0.16700000000000001</v>
      </c>
      <c r="K120" s="468"/>
      <c r="L120" s="468"/>
      <c r="M120" s="468"/>
      <c r="N120" s="468"/>
      <c r="O120" s="468"/>
      <c r="P120" s="473"/>
      <c r="Q120" s="188"/>
      <c r="R120" s="188"/>
      <c r="S120" s="28"/>
      <c r="T120" s="28"/>
      <c r="U120" s="28"/>
      <c r="V120" s="28"/>
      <c r="W120" s="28"/>
    </row>
    <row r="121" spans="1:23" s="36" customFormat="1" ht="13.5" customHeight="1" x14ac:dyDescent="0.25">
      <c r="A121" s="28"/>
      <c r="B121" s="488"/>
      <c r="C121" s="468"/>
      <c r="D121" s="468"/>
      <c r="E121" s="468"/>
      <c r="F121" s="42" t="s">
        <v>77</v>
      </c>
      <c r="G121" s="43">
        <f t="shared" ref="G121" si="189">+E119*0.4</f>
        <v>0.10320000000000001</v>
      </c>
      <c r="H121" s="44"/>
      <c r="I121" s="45"/>
      <c r="J121" s="46">
        <v>0.19600000000000001</v>
      </c>
      <c r="K121" s="468"/>
      <c r="L121" s="468"/>
      <c r="M121" s="468"/>
      <c r="N121" s="468"/>
      <c r="O121" s="468"/>
      <c r="P121" s="473"/>
      <c r="Q121" s="188"/>
      <c r="R121" s="188"/>
      <c r="S121" s="28"/>
      <c r="T121" s="28"/>
      <c r="U121" s="28"/>
      <c r="V121" s="28"/>
      <c r="W121" s="28"/>
    </row>
    <row r="122" spans="1:23" s="36" customFormat="1" ht="13.5" customHeight="1" x14ac:dyDescent="0.25">
      <c r="A122" s="28"/>
      <c r="B122" s="488"/>
      <c r="C122" s="468"/>
      <c r="D122" s="468"/>
      <c r="E122" s="468"/>
      <c r="F122" s="42" t="s">
        <v>78</v>
      </c>
      <c r="G122" s="43">
        <f t="shared" ref="G122" si="190">IF(E119&lt;0.125,"NA",IF(0.125&lt;=E119,(0.8*E119)))</f>
        <v>0.20640000000000003</v>
      </c>
      <c r="H122" s="44"/>
      <c r="I122" s="45"/>
      <c r="J122" s="46">
        <v>0.249</v>
      </c>
      <c r="K122" s="468"/>
      <c r="L122" s="468"/>
      <c r="M122" s="468"/>
      <c r="N122" s="468"/>
      <c r="O122" s="468"/>
      <c r="P122" s="473"/>
      <c r="Q122" s="188"/>
      <c r="R122" s="188"/>
      <c r="S122" s="28"/>
      <c r="T122" s="28"/>
      <c r="U122" s="28"/>
      <c r="V122" s="28"/>
      <c r="W122" s="28"/>
    </row>
    <row r="123" spans="1:23" s="36" customFormat="1" ht="13.5" customHeight="1" thickBot="1" x14ac:dyDescent="0.3">
      <c r="A123" s="28"/>
      <c r="B123" s="489"/>
      <c r="C123" s="469"/>
      <c r="D123" s="469"/>
      <c r="E123" s="469"/>
      <c r="F123" s="47" t="s">
        <v>79</v>
      </c>
      <c r="G123" s="48">
        <f t="shared" ref="G123" si="191">+E119</f>
        <v>0.25800000000000001</v>
      </c>
      <c r="H123" s="49"/>
      <c r="I123" s="50"/>
      <c r="J123" s="51">
        <v>0.23799999999999999</v>
      </c>
      <c r="K123" s="469"/>
      <c r="L123" s="469"/>
      <c r="M123" s="469"/>
      <c r="N123" s="469"/>
      <c r="O123" s="469"/>
      <c r="P123" s="474"/>
      <c r="Q123" s="188"/>
      <c r="R123" s="188"/>
      <c r="S123" s="28"/>
      <c r="T123" s="28"/>
      <c r="U123" s="28"/>
      <c r="V123" s="28"/>
      <c r="W123" s="28"/>
    </row>
    <row r="124" spans="1:23" s="36" customFormat="1" ht="13.5" customHeight="1" x14ac:dyDescent="0.25">
      <c r="A124" s="28"/>
      <c r="B124" s="487">
        <f t="shared" ref="B124" si="192">+B119+1</f>
        <v>22</v>
      </c>
      <c r="C124" s="490">
        <f t="shared" si="138"/>
        <v>27.07</v>
      </c>
      <c r="D124" s="467">
        <v>0.30499999999999999</v>
      </c>
      <c r="E124" s="467">
        <v>0.27700000000000002</v>
      </c>
      <c r="F124" s="37" t="s">
        <v>75</v>
      </c>
      <c r="G124" s="38">
        <v>0</v>
      </c>
      <c r="H124" s="39"/>
      <c r="I124" s="40"/>
      <c r="J124" s="41">
        <v>9.9000000000000005E-2</v>
      </c>
      <c r="K124" s="467">
        <f t="shared" ref="K124" si="193">+IF(E124&lt;=0.12,(J126),(IF(E124&lt;0.16,((J125+2*J126+J127)/4),IF(E124&gt;=0.16,((J124+3*J125+2*J126+3*J127+J128)/10)))))</f>
        <v>0.19490000000000002</v>
      </c>
      <c r="L124" s="467">
        <f t="shared" ref="L124" si="194">ROUND(+(D119+D124)/2*(C124-C119),3)</f>
        <v>0.28899999999999998</v>
      </c>
      <c r="M124" s="467">
        <f t="shared" ref="M124" si="195">ROUND(+K124*L124,4)</f>
        <v>5.6300000000000003E-2</v>
      </c>
      <c r="N124" s="470">
        <f t="shared" ref="N124" si="196">ROUND(+M124/$M$168*100,2)</f>
        <v>3</v>
      </c>
      <c r="O124" s="471"/>
      <c r="P124" s="472"/>
      <c r="Q124" s="188"/>
      <c r="S124" s="28"/>
      <c r="T124" s="28"/>
      <c r="U124" s="28"/>
      <c r="V124" s="28"/>
      <c r="W124" s="28"/>
    </row>
    <row r="125" spans="1:23" s="36" customFormat="1" ht="13.5" customHeight="1" x14ac:dyDescent="0.25">
      <c r="A125" s="28"/>
      <c r="B125" s="488"/>
      <c r="C125" s="468"/>
      <c r="D125" s="468"/>
      <c r="E125" s="468"/>
      <c r="F125" s="42" t="s">
        <v>76</v>
      </c>
      <c r="G125" s="43">
        <f t="shared" ref="G125" si="197">IF(E124&lt;0.125,"NA",IF(0.125&lt;=E124,(0.2*E124)))</f>
        <v>5.5400000000000005E-2</v>
      </c>
      <c r="H125" s="44"/>
      <c r="I125" s="45"/>
      <c r="J125" s="46">
        <v>0.14699999999999999</v>
      </c>
      <c r="K125" s="468"/>
      <c r="L125" s="468"/>
      <c r="M125" s="468"/>
      <c r="N125" s="468"/>
      <c r="O125" s="468"/>
      <c r="P125" s="473"/>
      <c r="Q125" s="188"/>
      <c r="R125" s="188"/>
      <c r="S125" s="28"/>
      <c r="T125" s="28"/>
      <c r="U125" s="28"/>
      <c r="V125" s="28"/>
      <c r="W125" s="28"/>
    </row>
    <row r="126" spans="1:23" s="36" customFormat="1" ht="13.5" customHeight="1" x14ac:dyDescent="0.25">
      <c r="A126" s="28"/>
      <c r="B126" s="488"/>
      <c r="C126" s="468"/>
      <c r="D126" s="468"/>
      <c r="E126" s="468"/>
      <c r="F126" s="42" t="s">
        <v>77</v>
      </c>
      <c r="G126" s="43">
        <f t="shared" ref="G126" si="198">+E124*0.4</f>
        <v>0.11080000000000001</v>
      </c>
      <c r="H126" s="44"/>
      <c r="I126" s="45"/>
      <c r="J126" s="46">
        <v>0.21299999999999999</v>
      </c>
      <c r="K126" s="468"/>
      <c r="L126" s="468"/>
      <c r="M126" s="468"/>
      <c r="N126" s="468"/>
      <c r="O126" s="468"/>
      <c r="P126" s="473"/>
      <c r="Q126" s="188"/>
      <c r="R126" s="188"/>
      <c r="S126" s="28"/>
      <c r="T126" s="28"/>
      <c r="U126" s="28"/>
      <c r="V126" s="28"/>
      <c r="W126" s="28"/>
    </row>
    <row r="127" spans="1:23" s="36" customFormat="1" ht="13.5" customHeight="1" x14ac:dyDescent="0.25">
      <c r="A127" s="28"/>
      <c r="B127" s="488"/>
      <c r="C127" s="468"/>
      <c r="D127" s="468"/>
      <c r="E127" s="468"/>
      <c r="F127" s="42" t="s">
        <v>78</v>
      </c>
      <c r="G127" s="43">
        <f t="shared" ref="G127" si="199">IF(E124&lt;0.125,"NA",IF(0.125&lt;=E124,(0.8*E124)))</f>
        <v>0.22160000000000002</v>
      </c>
      <c r="H127" s="44"/>
      <c r="I127" s="45"/>
      <c r="J127" s="46">
        <v>0.24099999999999999</v>
      </c>
      <c r="K127" s="468"/>
      <c r="L127" s="468"/>
      <c r="M127" s="468"/>
      <c r="N127" s="468"/>
      <c r="O127" s="468"/>
      <c r="P127" s="473"/>
      <c r="Q127" s="188"/>
      <c r="R127" s="188"/>
      <c r="S127" s="28"/>
      <c r="T127" s="28"/>
      <c r="U127" s="28"/>
      <c r="V127" s="28"/>
      <c r="W127" s="28"/>
    </row>
    <row r="128" spans="1:23" s="36" customFormat="1" ht="13.5" customHeight="1" thickBot="1" x14ac:dyDescent="0.3">
      <c r="A128" s="28"/>
      <c r="B128" s="489"/>
      <c r="C128" s="469"/>
      <c r="D128" s="469"/>
      <c r="E128" s="469"/>
      <c r="F128" s="47" t="s">
        <v>79</v>
      </c>
      <c r="G128" s="48">
        <f t="shared" ref="G128" si="200">+E124</f>
        <v>0.27700000000000002</v>
      </c>
      <c r="H128" s="49"/>
      <c r="I128" s="50"/>
      <c r="J128" s="51">
        <v>0.26</v>
      </c>
      <c r="K128" s="469"/>
      <c r="L128" s="469"/>
      <c r="M128" s="469"/>
      <c r="N128" s="469"/>
      <c r="O128" s="469"/>
      <c r="P128" s="474"/>
      <c r="Q128" s="188"/>
      <c r="R128" s="188"/>
      <c r="S128" s="28"/>
      <c r="T128" s="28"/>
      <c r="U128" s="28"/>
      <c r="V128" s="28"/>
      <c r="W128" s="28"/>
    </row>
    <row r="129" spans="1:23" s="36" customFormat="1" ht="13.5" customHeight="1" x14ac:dyDescent="0.25">
      <c r="A129" s="28"/>
      <c r="B129" s="487">
        <f t="shared" ref="B129" si="201">+B124+1</f>
        <v>23</v>
      </c>
      <c r="C129" s="490">
        <f t="shared" si="138"/>
        <v>28.07</v>
      </c>
      <c r="D129" s="467">
        <v>0.35499999999999998</v>
      </c>
      <c r="E129" s="467">
        <v>0.33200000000000002</v>
      </c>
      <c r="F129" s="37" t="s">
        <v>75</v>
      </c>
      <c r="G129" s="38">
        <v>0</v>
      </c>
      <c r="H129" s="39"/>
      <c r="I129" s="40"/>
      <c r="J129" s="41">
        <v>0.14799999999999999</v>
      </c>
      <c r="K129" s="467">
        <f t="shared" ref="K129" si="202">+IF(E129&lt;=0.12,(J131),(IF(E129&lt;0.16,((J130+2*J131+J132)/4),IF(E129&gt;=0.16,((J129+3*J130+2*J131+3*J132+J133)/10)))))</f>
        <v>0.22010000000000002</v>
      </c>
      <c r="L129" s="467">
        <f t="shared" ref="L129" si="203">ROUND(+(D124+D129)/2*(C129-C124),3)</f>
        <v>0.33</v>
      </c>
      <c r="M129" s="467">
        <f t="shared" ref="M129" si="204">ROUND(+K129*L129,4)</f>
        <v>7.2599999999999998E-2</v>
      </c>
      <c r="N129" s="470">
        <f t="shared" ref="N129" si="205">ROUND(+M129/$M$168*100,2)</f>
        <v>3.87</v>
      </c>
      <c r="O129" s="471"/>
      <c r="P129" s="472"/>
      <c r="Q129" s="188"/>
      <c r="S129" s="28"/>
      <c r="T129" s="28"/>
      <c r="U129" s="28"/>
      <c r="V129" s="28"/>
      <c r="W129" s="28"/>
    </row>
    <row r="130" spans="1:23" s="36" customFormat="1" ht="13.5" customHeight="1" x14ac:dyDescent="0.25">
      <c r="A130" s="28"/>
      <c r="B130" s="488"/>
      <c r="C130" s="468"/>
      <c r="D130" s="468"/>
      <c r="E130" s="468"/>
      <c r="F130" s="42" t="s">
        <v>76</v>
      </c>
      <c r="G130" s="43">
        <f t="shared" ref="G130" si="206">IF(E129&lt;0.125,"NA",IF(0.125&lt;=E129,(0.2*E129)))</f>
        <v>6.6400000000000001E-2</v>
      </c>
      <c r="H130" s="44"/>
      <c r="I130" s="45"/>
      <c r="J130" s="46">
        <v>0.21199999999999999</v>
      </c>
      <c r="K130" s="468"/>
      <c r="L130" s="468"/>
      <c r="M130" s="468"/>
      <c r="N130" s="468"/>
      <c r="O130" s="468"/>
      <c r="P130" s="473"/>
      <c r="Q130" s="188"/>
      <c r="R130" s="188"/>
      <c r="S130" s="28"/>
      <c r="T130" s="28"/>
      <c r="U130" s="28"/>
      <c r="V130" s="28"/>
      <c r="W130" s="28"/>
    </row>
    <row r="131" spans="1:23" s="36" customFormat="1" ht="13.5" customHeight="1" x14ac:dyDescent="0.25">
      <c r="A131" s="28"/>
      <c r="B131" s="488"/>
      <c r="C131" s="468"/>
      <c r="D131" s="468"/>
      <c r="E131" s="468"/>
      <c r="F131" s="42" t="s">
        <v>77</v>
      </c>
      <c r="G131" s="43">
        <f t="shared" ref="G131" si="207">+E129*0.4</f>
        <v>0.1328</v>
      </c>
      <c r="H131" s="44"/>
      <c r="I131" s="45"/>
      <c r="J131" s="46">
        <v>0.216</v>
      </c>
      <c r="K131" s="468"/>
      <c r="L131" s="468"/>
      <c r="M131" s="468"/>
      <c r="N131" s="468"/>
      <c r="O131" s="468"/>
      <c r="P131" s="473"/>
      <c r="Q131" s="188"/>
      <c r="R131" s="188"/>
      <c r="S131" s="28"/>
      <c r="T131" s="28"/>
      <c r="U131" s="28"/>
      <c r="V131" s="28"/>
      <c r="W131" s="28"/>
    </row>
    <row r="132" spans="1:23" s="36" customFormat="1" ht="13.5" customHeight="1" x14ac:dyDescent="0.25">
      <c r="A132" s="28"/>
      <c r="B132" s="488"/>
      <c r="C132" s="468"/>
      <c r="D132" s="468"/>
      <c r="E132" s="468"/>
      <c r="F132" s="42" t="s">
        <v>78</v>
      </c>
      <c r="G132" s="43">
        <f t="shared" ref="G132" si="208">IF(E129&lt;0.125,"NA",IF(0.125&lt;=E129,(0.8*E129)))</f>
        <v>0.2656</v>
      </c>
      <c r="H132" s="44"/>
      <c r="I132" s="45"/>
      <c r="J132" s="46">
        <v>0.245</v>
      </c>
      <c r="K132" s="468"/>
      <c r="L132" s="468"/>
      <c r="M132" s="468"/>
      <c r="N132" s="468"/>
      <c r="O132" s="468"/>
      <c r="P132" s="473"/>
      <c r="Q132" s="188"/>
      <c r="R132" s="188"/>
      <c r="S132" s="28"/>
      <c r="T132" s="28"/>
      <c r="U132" s="28"/>
      <c r="V132" s="28"/>
      <c r="W132" s="28"/>
    </row>
    <row r="133" spans="1:23" s="36" customFormat="1" ht="13.5" customHeight="1" thickBot="1" x14ac:dyDescent="0.3">
      <c r="A133" s="28"/>
      <c r="B133" s="489"/>
      <c r="C133" s="469"/>
      <c r="D133" s="469"/>
      <c r="E133" s="469"/>
      <c r="F133" s="47" t="s">
        <v>79</v>
      </c>
      <c r="G133" s="48">
        <f t="shared" ref="G133" si="209">+E129</f>
        <v>0.33200000000000002</v>
      </c>
      <c r="H133" s="49"/>
      <c r="I133" s="50"/>
      <c r="J133" s="51">
        <v>0.25</v>
      </c>
      <c r="K133" s="469"/>
      <c r="L133" s="469"/>
      <c r="M133" s="469"/>
      <c r="N133" s="469"/>
      <c r="O133" s="469"/>
      <c r="P133" s="474"/>
      <c r="Q133" s="188"/>
      <c r="R133" s="188"/>
      <c r="S133" s="28"/>
      <c r="T133" s="28"/>
      <c r="U133" s="28"/>
      <c r="V133" s="28"/>
      <c r="W133" s="28"/>
    </row>
    <row r="134" spans="1:23" s="36" customFormat="1" ht="13.5" customHeight="1" x14ac:dyDescent="0.25">
      <c r="A134" s="28"/>
      <c r="B134" s="487">
        <f t="shared" ref="B134" si="210">+B129+1</f>
        <v>24</v>
      </c>
      <c r="C134" s="490">
        <f t="shared" si="138"/>
        <v>29.07</v>
      </c>
      <c r="D134" s="467">
        <v>0.4</v>
      </c>
      <c r="E134" s="467">
        <v>0.36</v>
      </c>
      <c r="F134" s="37" t="s">
        <v>75</v>
      </c>
      <c r="G134" s="38">
        <v>0</v>
      </c>
      <c r="H134" s="39"/>
      <c r="I134" s="40"/>
      <c r="J134" s="41">
        <v>0.13500000000000001</v>
      </c>
      <c r="K134" s="467">
        <f t="shared" ref="K134" si="211">+IF(E134&lt;=0.12,(J136),(IF(E134&lt;0.16,((J135+2*J136+J137)/4),IF(E134&gt;=0.16,((J134+3*J135+2*J136+3*J137+J138)/10)))))</f>
        <v>0.20060000000000003</v>
      </c>
      <c r="L134" s="467">
        <f t="shared" ref="L134" si="212">ROUND(+(D129+D134)/2*(C134-C129),3)</f>
        <v>0.378</v>
      </c>
      <c r="M134" s="467">
        <f t="shared" ref="M134" si="213">ROUND(+K134*L134,4)</f>
        <v>7.5800000000000006E-2</v>
      </c>
      <c r="N134" s="470">
        <f t="shared" ref="N134" si="214">ROUND(+M134/$M$168*100,2)</f>
        <v>4.04</v>
      </c>
      <c r="O134" s="471"/>
      <c r="P134" s="472"/>
      <c r="Q134" s="188"/>
      <c r="S134" s="28"/>
      <c r="T134" s="28"/>
      <c r="U134" s="28"/>
      <c r="V134" s="28"/>
      <c r="W134" s="28"/>
    </row>
    <row r="135" spans="1:23" s="36" customFormat="1" ht="13.5" customHeight="1" x14ac:dyDescent="0.25">
      <c r="A135" s="28"/>
      <c r="B135" s="488"/>
      <c r="C135" s="468"/>
      <c r="D135" s="468"/>
      <c r="E135" s="468"/>
      <c r="F135" s="42" t="s">
        <v>76</v>
      </c>
      <c r="G135" s="43">
        <f t="shared" ref="G135" si="215">IF(E134&lt;0.125,"NA",IF(0.125&lt;=E134,(0.2*E134)))</f>
        <v>7.1999999999999995E-2</v>
      </c>
      <c r="H135" s="44"/>
      <c r="I135" s="45"/>
      <c r="J135" s="46">
        <v>0.191</v>
      </c>
      <c r="K135" s="468"/>
      <c r="L135" s="468"/>
      <c r="M135" s="468"/>
      <c r="N135" s="468"/>
      <c r="O135" s="468"/>
      <c r="P135" s="473"/>
      <c r="Q135" s="188"/>
      <c r="R135" s="188"/>
      <c r="S135" s="28"/>
      <c r="T135" s="28"/>
      <c r="U135" s="28"/>
      <c r="V135" s="28"/>
      <c r="W135" s="28"/>
    </row>
    <row r="136" spans="1:23" s="36" customFormat="1" ht="13.5" customHeight="1" x14ac:dyDescent="0.25">
      <c r="A136" s="28"/>
      <c r="B136" s="488"/>
      <c r="C136" s="468"/>
      <c r="D136" s="468"/>
      <c r="E136" s="468"/>
      <c r="F136" s="42" t="s">
        <v>77</v>
      </c>
      <c r="G136" s="43">
        <f t="shared" ref="G136" si="216">+E134*0.4</f>
        <v>0.14399999999999999</v>
      </c>
      <c r="H136" s="44"/>
      <c r="I136" s="45"/>
      <c r="J136" s="46">
        <v>0.223</v>
      </c>
      <c r="K136" s="468"/>
      <c r="L136" s="468"/>
      <c r="M136" s="468"/>
      <c r="N136" s="468"/>
      <c r="O136" s="468"/>
      <c r="P136" s="473"/>
      <c r="Q136" s="188"/>
      <c r="R136" s="188"/>
      <c r="S136" s="28"/>
      <c r="T136" s="28"/>
      <c r="U136" s="28"/>
      <c r="V136" s="28"/>
      <c r="W136" s="28"/>
    </row>
    <row r="137" spans="1:23" s="36" customFormat="1" ht="13.5" customHeight="1" x14ac:dyDescent="0.25">
      <c r="A137" s="28"/>
      <c r="B137" s="488"/>
      <c r="C137" s="468"/>
      <c r="D137" s="468"/>
      <c r="E137" s="468"/>
      <c r="F137" s="42" t="s">
        <v>78</v>
      </c>
      <c r="G137" s="43">
        <f t="shared" ref="G137" si="217">IF(E134&lt;0.125,"NA",IF(0.125&lt;=E134,(0.8*E134)))</f>
        <v>0.28799999999999998</v>
      </c>
      <c r="H137" s="44"/>
      <c r="I137" s="45"/>
      <c r="J137" s="46">
        <v>0.21199999999999999</v>
      </c>
      <c r="K137" s="468"/>
      <c r="L137" s="468"/>
      <c r="M137" s="468"/>
      <c r="N137" s="468"/>
      <c r="O137" s="468"/>
      <c r="P137" s="473"/>
      <c r="Q137" s="188"/>
      <c r="R137" s="188"/>
      <c r="S137" s="28"/>
      <c r="T137" s="28"/>
      <c r="U137" s="28"/>
      <c r="V137" s="28"/>
      <c r="W137" s="28"/>
    </row>
    <row r="138" spans="1:23" s="36" customFormat="1" ht="13.5" customHeight="1" thickBot="1" x14ac:dyDescent="0.3">
      <c r="A138" s="28"/>
      <c r="B138" s="489"/>
      <c r="C138" s="469"/>
      <c r="D138" s="469"/>
      <c r="E138" s="469"/>
      <c r="F138" s="47" t="s">
        <v>79</v>
      </c>
      <c r="G138" s="48">
        <f t="shared" ref="G138" si="218">+E134</f>
        <v>0.36</v>
      </c>
      <c r="H138" s="49"/>
      <c r="I138" s="50"/>
      <c r="J138" s="51">
        <v>0.216</v>
      </c>
      <c r="K138" s="469"/>
      <c r="L138" s="469"/>
      <c r="M138" s="469"/>
      <c r="N138" s="469"/>
      <c r="O138" s="469"/>
      <c r="P138" s="474"/>
      <c r="Q138" s="188"/>
      <c r="R138" s="188"/>
      <c r="S138" s="28"/>
      <c r="T138" s="28"/>
      <c r="U138" s="28"/>
      <c r="V138" s="28"/>
      <c r="W138" s="28"/>
    </row>
    <row r="139" spans="1:23" s="36" customFormat="1" ht="13.5" customHeight="1" x14ac:dyDescent="0.25">
      <c r="A139" s="28"/>
      <c r="B139" s="487">
        <f t="shared" ref="B139" si="219">+B134+1</f>
        <v>25</v>
      </c>
      <c r="C139" s="490">
        <f t="shared" si="138"/>
        <v>30.07</v>
      </c>
      <c r="D139" s="467">
        <v>0.51</v>
      </c>
      <c r="E139" s="467">
        <v>0.46300000000000002</v>
      </c>
      <c r="F139" s="37" t="s">
        <v>75</v>
      </c>
      <c r="G139" s="38">
        <v>0</v>
      </c>
      <c r="H139" s="39"/>
      <c r="I139" s="40"/>
      <c r="J139" s="41">
        <v>8.5000000000000006E-2</v>
      </c>
      <c r="K139" s="467">
        <f t="shared" ref="K139" si="220">+IF(E139&lt;=0.12,(J141),(IF(E139&lt;0.16,((J140+2*J141+J142)/4),IF(E139&gt;=0.16,((J139+3*J140+2*J141+3*J142+J143)/10)))))</f>
        <v>0.15859999999999999</v>
      </c>
      <c r="L139" s="467">
        <f t="shared" ref="L139" si="221">ROUND(+(D134+D139)/2*(C139-C134),3)</f>
        <v>0.45500000000000002</v>
      </c>
      <c r="M139" s="467">
        <f t="shared" ref="M139" si="222">ROUND(+K139*L139,4)</f>
        <v>7.22E-2</v>
      </c>
      <c r="N139" s="470">
        <f t="shared" ref="N139" si="223">ROUND(+M139/$M$168*100,2)</f>
        <v>3.85</v>
      </c>
      <c r="O139" s="471"/>
      <c r="P139" s="472"/>
      <c r="Q139" s="188"/>
      <c r="S139" s="28"/>
      <c r="T139" s="28"/>
      <c r="U139" s="28"/>
      <c r="V139" s="28"/>
      <c r="W139" s="28"/>
    </row>
    <row r="140" spans="1:23" s="36" customFormat="1" ht="13.5" customHeight="1" x14ac:dyDescent="0.25">
      <c r="A140" s="28"/>
      <c r="B140" s="488"/>
      <c r="C140" s="468"/>
      <c r="D140" s="468"/>
      <c r="E140" s="468"/>
      <c r="F140" s="42" t="s">
        <v>76</v>
      </c>
      <c r="G140" s="43">
        <f t="shared" ref="G140" si="224">IF(E139&lt;0.125,"NA",IF(0.125&lt;=E139,(0.2*E139)))</f>
        <v>9.2600000000000016E-2</v>
      </c>
      <c r="H140" s="44"/>
      <c r="I140" s="45"/>
      <c r="J140" s="46">
        <v>0.158</v>
      </c>
      <c r="K140" s="468"/>
      <c r="L140" s="468"/>
      <c r="M140" s="468"/>
      <c r="N140" s="468"/>
      <c r="O140" s="468"/>
      <c r="P140" s="473"/>
      <c r="Q140" s="188"/>
      <c r="R140" s="188"/>
      <c r="S140" s="28"/>
      <c r="T140" s="28"/>
      <c r="U140" s="28"/>
      <c r="V140" s="28"/>
      <c r="W140" s="28"/>
    </row>
    <row r="141" spans="1:23" s="36" customFormat="1" ht="13.5" customHeight="1" x14ac:dyDescent="0.25">
      <c r="A141" s="28"/>
      <c r="B141" s="488"/>
      <c r="C141" s="468"/>
      <c r="D141" s="468"/>
      <c r="E141" s="468"/>
      <c r="F141" s="42" t="s">
        <v>77</v>
      </c>
      <c r="G141" s="43">
        <f t="shared" ref="G141" si="225">+E139*0.4</f>
        <v>0.18520000000000003</v>
      </c>
      <c r="H141" s="44"/>
      <c r="I141" s="45"/>
      <c r="J141" s="46">
        <v>0.16900000000000001</v>
      </c>
      <c r="K141" s="468"/>
      <c r="L141" s="468"/>
      <c r="M141" s="468"/>
      <c r="N141" s="468"/>
      <c r="O141" s="468"/>
      <c r="P141" s="473"/>
      <c r="Q141" s="188"/>
      <c r="R141" s="188"/>
      <c r="S141" s="28"/>
      <c r="T141" s="28"/>
      <c r="U141" s="28"/>
      <c r="V141" s="28"/>
      <c r="W141" s="28"/>
    </row>
    <row r="142" spans="1:23" s="36" customFormat="1" ht="13.5" customHeight="1" x14ac:dyDescent="0.25">
      <c r="A142" s="28"/>
      <c r="B142" s="488"/>
      <c r="C142" s="468"/>
      <c r="D142" s="468"/>
      <c r="E142" s="468"/>
      <c r="F142" s="42" t="s">
        <v>78</v>
      </c>
      <c r="G142" s="43">
        <f t="shared" ref="G142" si="226">IF(E139&lt;0.125,"NA",IF(0.125&lt;=E139,(0.8*E139)))</f>
        <v>0.37040000000000006</v>
      </c>
      <c r="H142" s="44"/>
      <c r="I142" s="45"/>
      <c r="J142" s="46">
        <v>0.17299999999999999</v>
      </c>
      <c r="K142" s="468"/>
      <c r="L142" s="468"/>
      <c r="M142" s="468"/>
      <c r="N142" s="468"/>
      <c r="O142" s="468"/>
      <c r="P142" s="473"/>
      <c r="Q142" s="188"/>
      <c r="R142" s="188"/>
      <c r="S142" s="28"/>
      <c r="T142" s="28"/>
      <c r="U142" s="28"/>
      <c r="V142" s="28"/>
      <c r="W142" s="28"/>
    </row>
    <row r="143" spans="1:23" s="36" customFormat="1" ht="13.5" customHeight="1" thickBot="1" x14ac:dyDescent="0.3">
      <c r="A143" s="28"/>
      <c r="B143" s="489"/>
      <c r="C143" s="469"/>
      <c r="D143" s="469"/>
      <c r="E143" s="469"/>
      <c r="F143" s="47" t="s">
        <v>79</v>
      </c>
      <c r="G143" s="48">
        <f t="shared" ref="G143" si="227">+E139</f>
        <v>0.46300000000000002</v>
      </c>
      <c r="H143" s="49"/>
      <c r="I143" s="50"/>
      <c r="J143" s="51">
        <v>0.17</v>
      </c>
      <c r="K143" s="469"/>
      <c r="L143" s="469"/>
      <c r="M143" s="469"/>
      <c r="N143" s="469"/>
      <c r="O143" s="469"/>
      <c r="P143" s="474"/>
      <c r="Q143" s="188"/>
      <c r="R143" s="188"/>
      <c r="S143" s="28"/>
      <c r="T143" s="28"/>
      <c r="U143" s="28"/>
      <c r="V143" s="28"/>
      <c r="W143" s="28"/>
    </row>
    <row r="144" spans="1:23" s="36" customFormat="1" ht="13.5" customHeight="1" x14ac:dyDescent="0.25">
      <c r="A144" s="28"/>
      <c r="B144" s="487">
        <f t="shared" ref="B144" si="228">+B139+1</f>
        <v>26</v>
      </c>
      <c r="C144" s="490">
        <f>+C139+1.3</f>
        <v>31.37</v>
      </c>
      <c r="D144" s="467">
        <v>0.47499999999999998</v>
      </c>
      <c r="E144" s="467">
        <v>0.55200000000000005</v>
      </c>
      <c r="F144" s="37" t="s">
        <v>75</v>
      </c>
      <c r="G144" s="38">
        <v>0</v>
      </c>
      <c r="H144" s="39"/>
      <c r="I144" s="40"/>
      <c r="J144" s="41"/>
      <c r="K144" s="467"/>
      <c r="L144" s="467"/>
      <c r="M144" s="467"/>
      <c r="N144" s="470"/>
      <c r="O144" s="471"/>
      <c r="P144" s="472"/>
      <c r="Q144" s="188"/>
      <c r="S144" s="28"/>
      <c r="T144" s="28"/>
      <c r="U144" s="28"/>
      <c r="V144" s="28"/>
      <c r="W144" s="28"/>
    </row>
    <row r="145" spans="1:23" s="36" customFormat="1" ht="13.5" customHeight="1" x14ac:dyDescent="0.25">
      <c r="A145" s="28"/>
      <c r="B145" s="488"/>
      <c r="C145" s="468"/>
      <c r="D145" s="468"/>
      <c r="E145" s="468"/>
      <c r="F145" s="42" t="s">
        <v>76</v>
      </c>
      <c r="G145" s="43">
        <f t="shared" ref="G145" si="229">IF(E144&lt;0.125,"NA",IF(0.125&lt;=E144,(0.2*E144)))</f>
        <v>0.11040000000000001</v>
      </c>
      <c r="H145" s="44"/>
      <c r="I145" s="45"/>
      <c r="J145" s="46"/>
      <c r="K145" s="468"/>
      <c r="L145" s="468"/>
      <c r="M145" s="468"/>
      <c r="N145" s="468"/>
      <c r="O145" s="468"/>
      <c r="P145" s="473"/>
      <c r="Q145" s="188"/>
      <c r="R145" s="188"/>
      <c r="S145" s="28"/>
      <c r="T145" s="28"/>
      <c r="U145" s="28"/>
      <c r="V145" s="28"/>
      <c r="W145" s="28"/>
    </row>
    <row r="146" spans="1:23" s="36" customFormat="1" ht="13.5" customHeight="1" x14ac:dyDescent="0.25">
      <c r="A146" s="28"/>
      <c r="B146" s="488"/>
      <c r="C146" s="468"/>
      <c r="D146" s="468"/>
      <c r="E146" s="468"/>
      <c r="F146" s="42" t="s">
        <v>77</v>
      </c>
      <c r="G146" s="43">
        <f t="shared" ref="G146" si="230">+E144*0.4</f>
        <v>0.22080000000000002</v>
      </c>
      <c r="H146" s="44"/>
      <c r="I146" s="45"/>
      <c r="J146" s="46"/>
      <c r="K146" s="468"/>
      <c r="L146" s="468"/>
      <c r="M146" s="468"/>
      <c r="N146" s="468"/>
      <c r="O146" s="468"/>
      <c r="P146" s="473"/>
      <c r="Q146" s="188"/>
      <c r="R146" s="188"/>
      <c r="S146" s="28"/>
      <c r="T146" s="28"/>
      <c r="U146" s="28"/>
      <c r="V146" s="28"/>
      <c r="W146" s="28"/>
    </row>
    <row r="147" spans="1:23" s="36" customFormat="1" ht="13.5" customHeight="1" x14ac:dyDescent="0.25">
      <c r="A147" s="28"/>
      <c r="B147" s="488"/>
      <c r="C147" s="468"/>
      <c r="D147" s="468"/>
      <c r="E147" s="468"/>
      <c r="F147" s="42" t="s">
        <v>78</v>
      </c>
      <c r="G147" s="43">
        <f t="shared" ref="G147" si="231">IF(E144&lt;0.125,"NA",IF(0.125&lt;=E144,(0.8*E144)))</f>
        <v>0.44160000000000005</v>
      </c>
      <c r="H147" s="44"/>
      <c r="I147" s="45"/>
      <c r="J147" s="46"/>
      <c r="K147" s="468"/>
      <c r="L147" s="468"/>
      <c r="M147" s="468"/>
      <c r="N147" s="468"/>
      <c r="O147" s="468"/>
      <c r="P147" s="473"/>
      <c r="Q147" s="188"/>
      <c r="R147" s="188"/>
      <c r="S147" s="28"/>
      <c r="T147" s="28"/>
      <c r="U147" s="28"/>
      <c r="V147" s="28"/>
      <c r="W147" s="28"/>
    </row>
    <row r="148" spans="1:23" s="36" customFormat="1" ht="13.5" customHeight="1" thickBot="1" x14ac:dyDescent="0.3">
      <c r="A148" s="28"/>
      <c r="B148" s="489"/>
      <c r="C148" s="469"/>
      <c r="D148" s="469"/>
      <c r="E148" s="469"/>
      <c r="F148" s="47" t="s">
        <v>79</v>
      </c>
      <c r="G148" s="48">
        <f t="shared" ref="G148" si="232">+E144</f>
        <v>0.55200000000000005</v>
      </c>
      <c r="H148" s="49"/>
      <c r="I148" s="50"/>
      <c r="J148" s="51"/>
      <c r="K148" s="469"/>
      <c r="L148" s="469"/>
      <c r="M148" s="469"/>
      <c r="N148" s="469"/>
      <c r="O148" s="469"/>
      <c r="P148" s="474"/>
      <c r="Q148" s="188"/>
      <c r="R148" s="188"/>
      <c r="S148" s="28"/>
      <c r="T148" s="28"/>
      <c r="U148" s="28"/>
      <c r="V148" s="28"/>
      <c r="W148" s="28"/>
    </row>
    <row r="149" spans="1:23" s="3" customFormat="1" ht="13.5" customHeight="1" x14ac:dyDescent="0.2">
      <c r="B149" s="475" t="s">
        <v>28</v>
      </c>
      <c r="C149" s="478"/>
      <c r="D149" s="479"/>
      <c r="E149" s="479"/>
      <c r="F149" s="479"/>
      <c r="G149" s="479"/>
      <c r="H149" s="479"/>
      <c r="I149" s="479"/>
      <c r="J149" s="479"/>
      <c r="K149" s="479"/>
      <c r="L149" s="479"/>
      <c r="M149" s="479"/>
      <c r="N149" s="479"/>
      <c r="O149" s="479"/>
      <c r="P149" s="480"/>
      <c r="Q149" s="188"/>
    </row>
    <row r="150" spans="1:23" s="3" customFormat="1" ht="14.1" customHeight="1" x14ac:dyDescent="0.2">
      <c r="B150" s="476"/>
      <c r="C150" s="481"/>
      <c r="D150" s="482"/>
      <c r="E150" s="482"/>
      <c r="F150" s="482"/>
      <c r="G150" s="482"/>
      <c r="H150" s="482"/>
      <c r="I150" s="482"/>
      <c r="J150" s="482"/>
      <c r="K150" s="482"/>
      <c r="L150" s="482"/>
      <c r="M150" s="482"/>
      <c r="N150" s="482"/>
      <c r="O150" s="482"/>
      <c r="P150" s="483"/>
      <c r="Q150" s="188"/>
    </row>
    <row r="151" spans="1:23" s="3" customFormat="1" ht="14.1" customHeight="1" x14ac:dyDescent="0.2">
      <c r="B151" s="476"/>
      <c r="C151" s="481"/>
      <c r="D151" s="482"/>
      <c r="E151" s="482"/>
      <c r="F151" s="482"/>
      <c r="G151" s="482"/>
      <c r="H151" s="482"/>
      <c r="I151" s="482"/>
      <c r="J151" s="482"/>
      <c r="K151" s="482"/>
      <c r="L151" s="482"/>
      <c r="M151" s="482"/>
      <c r="N151" s="482"/>
      <c r="O151" s="482"/>
      <c r="P151" s="483"/>
      <c r="Q151" s="188"/>
    </row>
    <row r="152" spans="1:23" s="3" customFormat="1" ht="14.1" customHeight="1" x14ac:dyDescent="0.2">
      <c r="B152" s="476"/>
      <c r="C152" s="481"/>
      <c r="D152" s="482"/>
      <c r="E152" s="482"/>
      <c r="F152" s="482"/>
      <c r="G152" s="482"/>
      <c r="H152" s="482"/>
      <c r="I152" s="482"/>
      <c r="J152" s="482"/>
      <c r="K152" s="482"/>
      <c r="L152" s="482"/>
      <c r="M152" s="482"/>
      <c r="N152" s="482"/>
      <c r="O152" s="482"/>
      <c r="P152" s="483"/>
      <c r="Q152" s="188"/>
    </row>
    <row r="153" spans="1:23" s="3" customFormat="1" ht="14.1" customHeight="1" x14ac:dyDescent="0.2">
      <c r="B153" s="476"/>
      <c r="C153" s="481"/>
      <c r="D153" s="482"/>
      <c r="E153" s="482"/>
      <c r="F153" s="482"/>
      <c r="G153" s="482"/>
      <c r="H153" s="482"/>
      <c r="I153" s="482"/>
      <c r="J153" s="482"/>
      <c r="K153" s="482"/>
      <c r="L153" s="482"/>
      <c r="M153" s="482"/>
      <c r="N153" s="482"/>
      <c r="O153" s="482"/>
      <c r="P153" s="483"/>
      <c r="Q153" s="188"/>
    </row>
    <row r="154" spans="1:23" s="3" customFormat="1" ht="14.1" customHeight="1" thickBot="1" x14ac:dyDescent="0.25">
      <c r="B154" s="477"/>
      <c r="C154" s="484"/>
      <c r="D154" s="485"/>
      <c r="E154" s="485"/>
      <c r="F154" s="485"/>
      <c r="G154" s="485"/>
      <c r="H154" s="485"/>
      <c r="I154" s="485"/>
      <c r="J154" s="485"/>
      <c r="K154" s="485"/>
      <c r="L154" s="485"/>
      <c r="M154" s="485"/>
      <c r="N154" s="485"/>
      <c r="O154" s="485"/>
      <c r="P154" s="486"/>
      <c r="Q154" s="188"/>
    </row>
    <row r="155" spans="1:23" s="3" customFormat="1" ht="28.5" customHeight="1" thickBot="1" x14ac:dyDescent="0.25">
      <c r="A155" s="52"/>
      <c r="B155" s="53" t="s">
        <v>80</v>
      </c>
      <c r="C155" s="629" t="s">
        <v>81</v>
      </c>
      <c r="D155" s="630"/>
      <c r="E155" s="630"/>
      <c r="F155" s="630"/>
      <c r="G155" s="630"/>
      <c r="H155" s="631"/>
      <c r="I155" s="632"/>
      <c r="J155" s="53" t="s">
        <v>82</v>
      </c>
      <c r="K155" s="629" t="s">
        <v>83</v>
      </c>
      <c r="L155" s="630"/>
      <c r="M155" s="630"/>
      <c r="N155" s="630"/>
      <c r="O155" s="630"/>
      <c r="P155" s="631"/>
    </row>
    <row r="156" spans="1:23" s="3" customFormat="1" ht="28.5" customHeight="1" thickBot="1" x14ac:dyDescent="0.25">
      <c r="B156" s="54" t="s">
        <v>84</v>
      </c>
      <c r="C156" s="629" t="s">
        <v>85</v>
      </c>
      <c r="D156" s="630"/>
      <c r="E156" s="630"/>
      <c r="F156" s="630"/>
      <c r="G156" s="630"/>
      <c r="H156" s="631"/>
      <c r="I156" s="633"/>
      <c r="J156" s="54" t="s">
        <v>86</v>
      </c>
      <c r="K156" s="629" t="s">
        <v>87</v>
      </c>
      <c r="L156" s="630"/>
      <c r="M156" s="630"/>
      <c r="N156" s="630"/>
      <c r="O156" s="630"/>
      <c r="P156" s="631"/>
    </row>
    <row r="157" spans="1:23" s="16" customFormat="1" ht="13.5" customHeight="1" x14ac:dyDescent="0.25">
      <c r="A157" s="55"/>
      <c r="B157" s="460">
        <f>+B144</f>
        <v>26</v>
      </c>
      <c r="C157" s="463">
        <f>+C139</f>
        <v>30.07</v>
      </c>
      <c r="D157" s="465">
        <f>+D139</f>
        <v>0.51</v>
      </c>
      <c r="E157" s="465">
        <f>+E144</f>
        <v>0.55200000000000005</v>
      </c>
      <c r="F157" s="56" t="s">
        <v>75</v>
      </c>
      <c r="G157" s="56">
        <v>0.01</v>
      </c>
      <c r="H157" s="57"/>
      <c r="I157" s="58"/>
      <c r="J157" s="194">
        <v>3.2000000000000001E-2</v>
      </c>
      <c r="K157" s="466">
        <f>+AVERAGE(J157:J167)</f>
        <v>8.0454545454545459E-2</v>
      </c>
      <c r="L157" s="445">
        <f>ROUND(+(D157+D162)/2*(C162-C157),3)</f>
        <v>0.64</v>
      </c>
      <c r="M157" s="448">
        <f>ROUND(+K157*L157,4)</f>
        <v>5.1499999999999997E-2</v>
      </c>
      <c r="N157" s="445">
        <f>ROUND(+M157/$M$168*100,2)</f>
        <v>2.74</v>
      </c>
      <c r="O157" s="445"/>
      <c r="P157" s="449"/>
      <c r="Q157" s="188"/>
      <c r="R157" s="60"/>
      <c r="S157" s="60"/>
      <c r="T157" s="60"/>
      <c r="U157" s="60"/>
      <c r="V157" s="60"/>
      <c r="W157" s="60"/>
    </row>
    <row r="158" spans="1:23" s="16" customFormat="1" ht="13.5" customHeight="1" x14ac:dyDescent="0.25">
      <c r="A158" s="55"/>
      <c r="B158" s="461"/>
      <c r="C158" s="446"/>
      <c r="D158" s="446"/>
      <c r="E158" s="446"/>
      <c r="F158" s="61" t="s">
        <v>88</v>
      </c>
      <c r="G158" s="62">
        <f>+E157*0.1</f>
        <v>5.5200000000000006E-2</v>
      </c>
      <c r="H158" s="63"/>
      <c r="I158" s="64"/>
      <c r="J158" s="65">
        <v>5.1999999999999998E-2</v>
      </c>
      <c r="K158" s="446"/>
      <c r="L158" s="446"/>
      <c r="M158" s="446"/>
      <c r="N158" s="446"/>
      <c r="O158" s="446"/>
      <c r="P158" s="450"/>
      <c r="Q158" s="188"/>
      <c r="R158" s="60"/>
      <c r="S158" s="60"/>
      <c r="T158" s="60"/>
      <c r="U158" s="60"/>
      <c r="V158" s="60"/>
      <c r="W158" s="60"/>
    </row>
    <row r="159" spans="1:23" s="16" customFormat="1" ht="13.5" customHeight="1" x14ac:dyDescent="0.25">
      <c r="A159" s="55"/>
      <c r="B159" s="461"/>
      <c r="C159" s="446"/>
      <c r="D159" s="446"/>
      <c r="E159" s="446"/>
      <c r="F159" s="61" t="s">
        <v>89</v>
      </c>
      <c r="G159" s="62">
        <f>+E157*0.2</f>
        <v>0.11040000000000001</v>
      </c>
      <c r="H159" s="63"/>
      <c r="I159" s="64"/>
      <c r="J159" s="65">
        <v>6.4000000000000001E-2</v>
      </c>
      <c r="K159" s="446"/>
      <c r="L159" s="446"/>
      <c r="M159" s="446"/>
      <c r="N159" s="446"/>
      <c r="O159" s="446"/>
      <c r="P159" s="450"/>
      <c r="Q159" s="188"/>
      <c r="R159" s="60"/>
      <c r="S159" s="60"/>
      <c r="T159" s="60"/>
      <c r="U159" s="60"/>
      <c r="V159" s="60"/>
      <c r="W159" s="60"/>
    </row>
    <row r="160" spans="1:23" s="16" customFormat="1" ht="13.5" customHeight="1" x14ac:dyDescent="0.25">
      <c r="A160" s="55"/>
      <c r="B160" s="461"/>
      <c r="C160" s="446"/>
      <c r="D160" s="446"/>
      <c r="E160" s="446"/>
      <c r="F160" s="61" t="s">
        <v>90</v>
      </c>
      <c r="G160" s="62">
        <f>+E157*0.3</f>
        <v>0.1656</v>
      </c>
      <c r="H160" s="63"/>
      <c r="I160" s="64"/>
      <c r="J160" s="65">
        <v>6.8000000000000005E-2</v>
      </c>
      <c r="K160" s="446"/>
      <c r="L160" s="446"/>
      <c r="M160" s="446"/>
      <c r="N160" s="446"/>
      <c r="O160" s="446"/>
      <c r="P160" s="450"/>
      <c r="Q160" s="188"/>
      <c r="R160" s="60"/>
      <c r="S160" s="60"/>
      <c r="T160" s="60"/>
      <c r="U160" s="60"/>
      <c r="V160" s="60"/>
      <c r="W160" s="60"/>
    </row>
    <row r="161" spans="1:23" s="16" customFormat="1" ht="13.5" customHeight="1" x14ac:dyDescent="0.25">
      <c r="A161" s="55"/>
      <c r="B161" s="461"/>
      <c r="C161" s="464"/>
      <c r="D161" s="464"/>
      <c r="E161" s="446"/>
      <c r="F161" s="61" t="s">
        <v>91</v>
      </c>
      <c r="G161" s="62">
        <f>+E157*0.4</f>
        <v>0.22080000000000002</v>
      </c>
      <c r="H161" s="63"/>
      <c r="I161" s="64"/>
      <c r="J161" s="65">
        <v>7.6999999999999999E-2</v>
      </c>
      <c r="K161" s="446"/>
      <c r="L161" s="446"/>
      <c r="M161" s="446"/>
      <c r="N161" s="446"/>
      <c r="O161" s="446"/>
      <c r="P161" s="450"/>
      <c r="Q161" s="188"/>
      <c r="R161" s="60"/>
      <c r="S161" s="60"/>
      <c r="T161" s="60"/>
      <c r="U161" s="60"/>
      <c r="V161" s="60"/>
      <c r="W161" s="60"/>
    </row>
    <row r="162" spans="1:23" s="16" customFormat="1" ht="13.5" customHeight="1" x14ac:dyDescent="0.25">
      <c r="A162" s="55"/>
      <c r="B162" s="461"/>
      <c r="C162" s="452">
        <f>+C144</f>
        <v>31.37</v>
      </c>
      <c r="D162" s="453">
        <f>+D144</f>
        <v>0.47499999999999998</v>
      </c>
      <c r="E162" s="446"/>
      <c r="F162" s="61" t="s">
        <v>29</v>
      </c>
      <c r="G162" s="62">
        <f>+E157*0.5</f>
        <v>0.27600000000000002</v>
      </c>
      <c r="H162" s="63"/>
      <c r="I162" s="64"/>
      <c r="J162" s="65">
        <v>7.8E-2</v>
      </c>
      <c r="K162" s="446"/>
      <c r="L162" s="446"/>
      <c r="M162" s="446"/>
      <c r="N162" s="446"/>
      <c r="O162" s="446"/>
      <c r="P162" s="450"/>
      <c r="Q162" s="188"/>
      <c r="R162" s="60"/>
      <c r="S162" s="60"/>
      <c r="T162" s="60"/>
      <c r="U162" s="60"/>
      <c r="V162" s="60"/>
      <c r="W162" s="60"/>
    </row>
    <row r="163" spans="1:23" s="16" customFormat="1" ht="13.5" customHeight="1" x14ac:dyDescent="0.25">
      <c r="A163" s="55"/>
      <c r="B163" s="461"/>
      <c r="C163" s="446"/>
      <c r="D163" s="446"/>
      <c r="E163" s="446"/>
      <c r="F163" s="61" t="s">
        <v>92</v>
      </c>
      <c r="G163" s="62">
        <f>+E157*0.6</f>
        <v>0.33119999999999999</v>
      </c>
      <c r="H163" s="63"/>
      <c r="I163" s="64"/>
      <c r="J163" s="65">
        <v>8.4000000000000005E-2</v>
      </c>
      <c r="K163" s="446"/>
      <c r="L163" s="446"/>
      <c r="M163" s="446"/>
      <c r="N163" s="446"/>
      <c r="O163" s="446"/>
      <c r="P163" s="450"/>
      <c r="Q163" s="188"/>
      <c r="R163" s="60"/>
      <c r="S163" s="60"/>
      <c r="T163" s="60"/>
      <c r="U163" s="60"/>
      <c r="V163" s="60"/>
      <c r="W163" s="60"/>
    </row>
    <row r="164" spans="1:23" s="16" customFormat="1" ht="13.5" customHeight="1" x14ac:dyDescent="0.25">
      <c r="A164" s="55"/>
      <c r="B164" s="461"/>
      <c r="C164" s="446"/>
      <c r="D164" s="446"/>
      <c r="E164" s="446"/>
      <c r="F164" s="61" t="s">
        <v>93</v>
      </c>
      <c r="G164" s="62">
        <f>+E157*0.7</f>
        <v>0.38640000000000002</v>
      </c>
      <c r="H164" s="63"/>
      <c r="I164" s="64"/>
      <c r="J164" s="65">
        <v>9.0999999999999998E-2</v>
      </c>
      <c r="K164" s="446"/>
      <c r="L164" s="446"/>
      <c r="M164" s="446"/>
      <c r="N164" s="446"/>
      <c r="O164" s="446"/>
      <c r="P164" s="450"/>
      <c r="Q164" s="188"/>
      <c r="R164" s="60"/>
      <c r="S164" s="60"/>
      <c r="T164" s="60"/>
      <c r="U164" s="60"/>
      <c r="V164" s="60"/>
      <c r="W164" s="60"/>
    </row>
    <row r="165" spans="1:23" s="16" customFormat="1" ht="13.5" customHeight="1" x14ac:dyDescent="0.25">
      <c r="A165" s="55"/>
      <c r="B165" s="461"/>
      <c r="C165" s="446"/>
      <c r="D165" s="446"/>
      <c r="E165" s="446"/>
      <c r="F165" s="61" t="s">
        <v>94</v>
      </c>
      <c r="G165" s="62">
        <f>+E157*0.8</f>
        <v>0.44160000000000005</v>
      </c>
      <c r="H165" s="63"/>
      <c r="I165" s="64"/>
      <c r="J165" s="65">
        <v>0.106</v>
      </c>
      <c r="K165" s="446"/>
      <c r="L165" s="446"/>
      <c r="M165" s="446"/>
      <c r="N165" s="446"/>
      <c r="O165" s="446"/>
      <c r="P165" s="450"/>
      <c r="Q165" s="188"/>
      <c r="R165" s="60"/>
      <c r="S165" s="60"/>
      <c r="T165" s="60"/>
      <c r="U165" s="60"/>
      <c r="V165" s="60"/>
      <c r="W165" s="60"/>
    </row>
    <row r="166" spans="1:23" s="16" customFormat="1" ht="13.5" customHeight="1" x14ac:dyDescent="0.25">
      <c r="A166" s="55"/>
      <c r="B166" s="461"/>
      <c r="C166" s="446"/>
      <c r="D166" s="446"/>
      <c r="E166" s="446"/>
      <c r="F166" s="61" t="s">
        <v>95</v>
      </c>
      <c r="G166" s="62">
        <f>+E157*0.9</f>
        <v>0.49680000000000007</v>
      </c>
      <c r="H166" s="63"/>
      <c r="I166" s="64"/>
      <c r="J166" s="65">
        <v>0.113</v>
      </c>
      <c r="K166" s="446"/>
      <c r="L166" s="446"/>
      <c r="M166" s="446"/>
      <c r="N166" s="446"/>
      <c r="O166" s="446"/>
      <c r="P166" s="450"/>
      <c r="Q166" s="188"/>
      <c r="R166" s="60"/>
      <c r="S166" s="60"/>
      <c r="T166" s="60"/>
      <c r="U166" s="60"/>
      <c r="V166" s="60"/>
      <c r="W166" s="60"/>
    </row>
    <row r="167" spans="1:23" s="16" customFormat="1" ht="15.75" thickBot="1" x14ac:dyDescent="0.3">
      <c r="A167" s="55"/>
      <c r="B167" s="462"/>
      <c r="C167" s="447"/>
      <c r="D167" s="447"/>
      <c r="E167" s="447"/>
      <c r="F167" s="66" t="s">
        <v>30</v>
      </c>
      <c r="G167" s="66">
        <f>+E157</f>
        <v>0.55200000000000005</v>
      </c>
      <c r="H167" s="67"/>
      <c r="I167" s="68"/>
      <c r="J167" s="69">
        <v>0.12</v>
      </c>
      <c r="K167" s="447"/>
      <c r="L167" s="447"/>
      <c r="M167" s="447"/>
      <c r="N167" s="447"/>
      <c r="O167" s="447"/>
      <c r="P167" s="451"/>
      <c r="Q167" s="188"/>
      <c r="R167" s="60"/>
      <c r="S167" s="60"/>
      <c r="T167" s="60"/>
      <c r="U167" s="60"/>
      <c r="V167" s="60"/>
      <c r="W167" s="60"/>
    </row>
    <row r="168" spans="1:23" s="3" customFormat="1" ht="12.75" x14ac:dyDescent="0.2">
      <c r="A168" s="8"/>
      <c r="B168" s="620"/>
      <c r="C168" s="621"/>
      <c r="D168" s="621"/>
      <c r="E168" s="621"/>
      <c r="F168" s="621"/>
      <c r="G168" s="621"/>
      <c r="H168" s="621"/>
      <c r="I168" s="621"/>
      <c r="J168" s="622"/>
      <c r="K168" s="13">
        <f>ROUND(+M168/L168,3)</f>
        <v>0.26</v>
      </c>
      <c r="L168" s="12">
        <f>SUM(L19:L167)</f>
        <v>7.2059999999999986</v>
      </c>
      <c r="M168" s="11">
        <f>SUM(M19:M167)</f>
        <v>1.8771000000000007</v>
      </c>
      <c r="N168" s="9">
        <f>ROUND(SUM(N19:N167),0)</f>
        <v>100</v>
      </c>
      <c r="O168" s="626" t="s">
        <v>31</v>
      </c>
      <c r="P168" s="628"/>
    </row>
    <row r="169" spans="1:23" s="3" customFormat="1" ht="15" customHeight="1" thickBot="1" x14ac:dyDescent="0.25">
      <c r="A169" s="8"/>
      <c r="B169" s="623"/>
      <c r="C169" s="624"/>
      <c r="D169" s="624"/>
      <c r="E169" s="624"/>
      <c r="F169" s="624"/>
      <c r="G169" s="624"/>
      <c r="H169" s="624"/>
      <c r="I169" s="624"/>
      <c r="J169" s="625"/>
      <c r="K169" s="10" t="s">
        <v>32</v>
      </c>
      <c r="L169" s="10" t="s">
        <v>48</v>
      </c>
      <c r="M169" s="10" t="s">
        <v>101</v>
      </c>
      <c r="N169" s="10" t="s">
        <v>33</v>
      </c>
      <c r="O169" s="627"/>
      <c r="P169" s="439"/>
    </row>
    <row r="170" spans="1:23" s="16" customFormat="1" ht="15.75" thickBot="1" x14ac:dyDescent="0.3">
      <c r="A170" s="15"/>
      <c r="B170" s="440" t="s">
        <v>96</v>
      </c>
      <c r="C170" s="441"/>
      <c r="D170" s="441"/>
      <c r="E170" s="441"/>
      <c r="F170" s="442"/>
      <c r="G170" s="440" t="s">
        <v>97</v>
      </c>
      <c r="H170" s="441"/>
      <c r="I170" s="441"/>
      <c r="J170" s="441"/>
      <c r="K170" s="442"/>
      <c r="L170" s="443" t="s">
        <v>49</v>
      </c>
      <c r="M170" s="441"/>
      <c r="N170" s="441"/>
      <c r="O170" s="441"/>
      <c r="P170" s="444"/>
    </row>
    <row r="171" spans="1:23" s="16" customFormat="1" x14ac:dyDescent="0.25">
      <c r="A171" s="15"/>
      <c r="B171" s="402"/>
      <c r="C171" s="403"/>
      <c r="D171" s="403"/>
      <c r="E171" s="403"/>
      <c r="F171" s="404"/>
      <c r="G171" s="402"/>
      <c r="H171" s="403"/>
      <c r="I171" s="403"/>
      <c r="J171" s="403"/>
      <c r="K171" s="404"/>
      <c r="L171" s="411" t="s">
        <v>98</v>
      </c>
      <c r="M171" s="412"/>
      <c r="N171" s="412"/>
      <c r="O171" s="413">
        <f>+AVERAGE(E18:E148)</f>
        <v>0.29050000000000004</v>
      </c>
      <c r="P171" s="414"/>
    </row>
    <row r="172" spans="1:23" s="16" customFormat="1" ht="15.75" thickBot="1" x14ac:dyDescent="0.3">
      <c r="A172" s="15"/>
      <c r="B172" s="405"/>
      <c r="C172" s="406"/>
      <c r="D172" s="406"/>
      <c r="E172" s="406"/>
      <c r="F172" s="407"/>
      <c r="G172" s="405"/>
      <c r="H172" s="406"/>
      <c r="I172" s="406"/>
      <c r="J172" s="406"/>
      <c r="K172" s="407"/>
      <c r="L172" s="415" t="s">
        <v>99</v>
      </c>
      <c r="M172" s="416"/>
      <c r="N172" s="416"/>
      <c r="O172" s="417">
        <f>MAX(E18:E148)</f>
        <v>0.55200000000000005</v>
      </c>
      <c r="P172" s="418"/>
    </row>
    <row r="173" spans="1:23" s="16" customFormat="1" ht="18" customHeight="1" x14ac:dyDescent="0.25">
      <c r="A173" s="189"/>
      <c r="B173" s="405"/>
      <c r="C173" s="406"/>
      <c r="D173" s="406"/>
      <c r="E173" s="406"/>
      <c r="F173" s="407"/>
      <c r="G173" s="405"/>
      <c r="H173" s="406"/>
      <c r="I173" s="406"/>
      <c r="J173" s="406"/>
      <c r="K173" s="407"/>
      <c r="L173" s="419"/>
      <c r="M173" s="420"/>
      <c r="N173" s="420"/>
      <c r="O173" s="420"/>
      <c r="P173" s="421"/>
    </row>
    <row r="174" spans="1:23" s="16" customFormat="1" ht="87.75" customHeight="1" x14ac:dyDescent="0.25">
      <c r="A174" s="15"/>
      <c r="B174" s="405"/>
      <c r="C174" s="406"/>
      <c r="D174" s="406"/>
      <c r="E174" s="406"/>
      <c r="F174" s="407"/>
      <c r="G174" s="405"/>
      <c r="H174" s="406"/>
      <c r="I174" s="406"/>
      <c r="J174" s="406"/>
      <c r="K174" s="407"/>
      <c r="L174" s="422"/>
      <c r="M174" s="423"/>
      <c r="N174" s="423"/>
      <c r="O174" s="423"/>
      <c r="P174" s="424"/>
    </row>
    <row r="175" spans="1:23" s="16" customFormat="1" ht="15.75" thickBot="1" x14ac:dyDescent="0.3">
      <c r="A175" s="15"/>
      <c r="B175" s="405"/>
      <c r="C175" s="406"/>
      <c r="D175" s="406"/>
      <c r="E175" s="406"/>
      <c r="F175" s="407"/>
      <c r="G175" s="405"/>
      <c r="H175" s="406"/>
      <c r="I175" s="406"/>
      <c r="J175" s="406"/>
      <c r="K175" s="407"/>
      <c r="L175" s="425"/>
      <c r="M175" s="426"/>
      <c r="N175" s="426"/>
      <c r="O175" s="426"/>
      <c r="P175" s="427"/>
    </row>
    <row r="176" spans="1:23" s="16" customFormat="1" ht="15.75" customHeight="1" thickBot="1" x14ac:dyDescent="0.3">
      <c r="A176" s="15"/>
      <c r="B176" s="405"/>
      <c r="C176" s="406"/>
      <c r="D176" s="406"/>
      <c r="E176" s="406"/>
      <c r="F176" s="407"/>
      <c r="G176" s="405"/>
      <c r="H176" s="406"/>
      <c r="I176" s="406"/>
      <c r="J176" s="406"/>
      <c r="K176" s="407"/>
      <c r="L176" s="428" t="s">
        <v>34</v>
      </c>
      <c r="M176" s="429"/>
      <c r="N176" s="429"/>
      <c r="O176" s="429"/>
      <c r="P176" s="93">
        <v>4.75</v>
      </c>
    </row>
    <row r="177" spans="1:16" s="16" customFormat="1" ht="14.25" customHeight="1" thickBot="1" x14ac:dyDescent="0.3">
      <c r="A177" s="15"/>
      <c r="B177" s="408"/>
      <c r="C177" s="409"/>
      <c r="D177" s="409"/>
      <c r="E177" s="409"/>
      <c r="F177" s="410"/>
      <c r="G177" s="408"/>
      <c r="H177" s="409"/>
      <c r="I177" s="409"/>
      <c r="J177" s="409"/>
      <c r="K177" s="410"/>
      <c r="L177" s="430" t="s">
        <v>107</v>
      </c>
      <c r="M177" s="431"/>
      <c r="N177" s="431"/>
      <c r="O177" s="431"/>
      <c r="P177" s="93">
        <v>0.69799999999999995</v>
      </c>
    </row>
    <row r="178" spans="1:16" ht="23.45" customHeight="1" thickBot="1" x14ac:dyDescent="0.3">
      <c r="A178" s="5"/>
      <c r="B178" s="614"/>
      <c r="C178" s="614"/>
      <c r="D178" s="614"/>
      <c r="E178" s="614"/>
      <c r="F178" s="614"/>
      <c r="G178" s="614"/>
      <c r="H178" s="614"/>
      <c r="I178" s="614"/>
      <c r="J178" s="614"/>
      <c r="K178" s="614"/>
      <c r="L178" s="614"/>
      <c r="M178" s="614"/>
      <c r="N178" s="614"/>
      <c r="O178" s="614"/>
      <c r="P178" s="614"/>
    </row>
    <row r="179" spans="1:16" ht="15.75" thickBot="1" x14ac:dyDescent="0.3">
      <c r="A179" s="391" t="s">
        <v>35</v>
      </c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15"/>
      <c r="P179" s="616"/>
    </row>
    <row r="180" spans="1:16" ht="159" customHeight="1" thickBot="1" x14ac:dyDescent="0.3">
      <c r="A180" s="4"/>
      <c r="B180" s="617"/>
      <c r="C180" s="618"/>
      <c r="D180" s="618"/>
      <c r="E180" s="618"/>
      <c r="F180" s="619"/>
      <c r="G180" s="617"/>
      <c r="H180" s="618"/>
      <c r="I180" s="618"/>
      <c r="J180" s="618"/>
      <c r="K180" s="619"/>
      <c r="L180" s="617"/>
      <c r="M180" s="618"/>
      <c r="N180" s="618"/>
      <c r="O180" s="618"/>
      <c r="P180" s="619"/>
    </row>
    <row r="181" spans="1:16" ht="21.75" customHeight="1" thickBot="1" x14ac:dyDescent="0.3">
      <c r="A181" s="4"/>
      <c r="B181" s="586" t="s">
        <v>144</v>
      </c>
      <c r="C181" s="587"/>
      <c r="D181" s="587"/>
      <c r="E181" s="587"/>
      <c r="F181" s="588"/>
      <c r="G181" s="586" t="s">
        <v>145</v>
      </c>
      <c r="H181" s="587"/>
      <c r="I181" s="587"/>
      <c r="J181" s="587"/>
      <c r="K181" s="588"/>
      <c r="L181" s="586" t="s">
        <v>146</v>
      </c>
      <c r="M181" s="587"/>
      <c r="N181" s="587"/>
      <c r="O181" s="587"/>
      <c r="P181" s="588"/>
    </row>
    <row r="182" spans="1:16" s="7" customFormat="1" ht="16.899999999999999" customHeight="1" thickBot="1" x14ac:dyDescent="0.3">
      <c r="A182" s="6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8"/>
    </row>
    <row r="183" spans="1:16" s="3" customFormat="1" ht="15.75" customHeight="1" thickBot="1" x14ac:dyDescent="0.25">
      <c r="A183" s="609" t="s">
        <v>36</v>
      </c>
      <c r="B183" s="610"/>
      <c r="C183" s="611"/>
      <c r="D183" s="612"/>
      <c r="E183" s="610"/>
      <c r="F183" s="610"/>
      <c r="G183" s="610"/>
      <c r="H183" s="610"/>
      <c r="I183" s="611"/>
      <c r="J183" s="612" t="s">
        <v>37</v>
      </c>
      <c r="K183" s="611"/>
      <c r="L183" s="612"/>
      <c r="M183" s="610"/>
      <c r="N183" s="610"/>
      <c r="O183" s="610"/>
      <c r="P183" s="613"/>
    </row>
  </sheetData>
  <mergeCells count="36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M114:M118"/>
    <mergeCell ref="N114:N118"/>
    <mergeCell ref="O114:O118"/>
    <mergeCell ref="P114:P118"/>
    <mergeCell ref="B119:B123"/>
    <mergeCell ref="C119:C123"/>
    <mergeCell ref="D119:D123"/>
    <mergeCell ref="E119:E123"/>
    <mergeCell ref="K119:K123"/>
    <mergeCell ref="L119:L123"/>
    <mergeCell ref="M119:M123"/>
    <mergeCell ref="N119:N123"/>
    <mergeCell ref="O119:O123"/>
    <mergeCell ref="P119:P123"/>
    <mergeCell ref="B124:B128"/>
    <mergeCell ref="C124:C128"/>
    <mergeCell ref="D124:D128"/>
    <mergeCell ref="E124:E128"/>
    <mergeCell ref="K124:K128"/>
    <mergeCell ref="L124:L128"/>
    <mergeCell ref="M124:M128"/>
    <mergeCell ref="N124:N128"/>
    <mergeCell ref="O124:O128"/>
    <mergeCell ref="P124:P128"/>
    <mergeCell ref="B129:B133"/>
    <mergeCell ref="C129:C133"/>
    <mergeCell ref="D129:D133"/>
    <mergeCell ref="E129:E133"/>
    <mergeCell ref="K129:K133"/>
    <mergeCell ref="L129:L133"/>
    <mergeCell ref="M129:M133"/>
    <mergeCell ref="N129:N133"/>
    <mergeCell ref="O129:O133"/>
    <mergeCell ref="P129:P133"/>
    <mergeCell ref="B134:B138"/>
    <mergeCell ref="C134:C138"/>
    <mergeCell ref="D134:D138"/>
    <mergeCell ref="E134:E138"/>
    <mergeCell ref="K134:K138"/>
    <mergeCell ref="L134:L138"/>
    <mergeCell ref="M134:M138"/>
    <mergeCell ref="N134:N138"/>
    <mergeCell ref="O134:O138"/>
    <mergeCell ref="P134:P138"/>
    <mergeCell ref="B139:B143"/>
    <mergeCell ref="C139:C143"/>
    <mergeCell ref="D139:D143"/>
    <mergeCell ref="E139:E143"/>
    <mergeCell ref="K139:K143"/>
    <mergeCell ref="L139:L143"/>
    <mergeCell ref="M144:M148"/>
    <mergeCell ref="N144:N148"/>
    <mergeCell ref="O144:O148"/>
    <mergeCell ref="P144:P148"/>
    <mergeCell ref="B149:B154"/>
    <mergeCell ref="C149:P154"/>
    <mergeCell ref="M139:M143"/>
    <mergeCell ref="N139:N143"/>
    <mergeCell ref="O139:O143"/>
    <mergeCell ref="P139:P143"/>
    <mergeCell ref="B144:B148"/>
    <mergeCell ref="C144:C148"/>
    <mergeCell ref="D144:D148"/>
    <mergeCell ref="E144:E148"/>
    <mergeCell ref="K144:K148"/>
    <mergeCell ref="L144:L148"/>
    <mergeCell ref="C155:H155"/>
    <mergeCell ref="I155:I156"/>
    <mergeCell ref="K155:P155"/>
    <mergeCell ref="C156:H156"/>
    <mergeCell ref="K156:P156"/>
    <mergeCell ref="B157:B167"/>
    <mergeCell ref="C157:C161"/>
    <mergeCell ref="D157:D161"/>
    <mergeCell ref="E157:E167"/>
    <mergeCell ref="K157:K167"/>
    <mergeCell ref="B168:J169"/>
    <mergeCell ref="O168:O169"/>
    <mergeCell ref="P168:P169"/>
    <mergeCell ref="B170:F170"/>
    <mergeCell ref="G170:K170"/>
    <mergeCell ref="L170:P170"/>
    <mergeCell ref="L157:L167"/>
    <mergeCell ref="M157:M167"/>
    <mergeCell ref="N157:N167"/>
    <mergeCell ref="O157:O167"/>
    <mergeCell ref="P157:P167"/>
    <mergeCell ref="C162:C167"/>
    <mergeCell ref="D162:D167"/>
    <mergeCell ref="B171:F177"/>
    <mergeCell ref="G171:K177"/>
    <mergeCell ref="L171:N171"/>
    <mergeCell ref="O171:P171"/>
    <mergeCell ref="L172:N172"/>
    <mergeCell ref="O172:P172"/>
    <mergeCell ref="L173:P175"/>
    <mergeCell ref="L176:O176"/>
    <mergeCell ref="L177:O177"/>
    <mergeCell ref="B182:P182"/>
    <mergeCell ref="A183:C183"/>
    <mergeCell ref="D183:I183"/>
    <mergeCell ref="J183:K183"/>
    <mergeCell ref="L183:P183"/>
    <mergeCell ref="B178:P178"/>
    <mergeCell ref="A179:P179"/>
    <mergeCell ref="B180:F180"/>
    <mergeCell ref="G180:K180"/>
    <mergeCell ref="L180:P180"/>
    <mergeCell ref="B181:F181"/>
    <mergeCell ref="G181:K181"/>
    <mergeCell ref="L181:P181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Planta y sección típica</vt:lpstr>
      <vt:lpstr>Aforo 1</vt:lpstr>
      <vt:lpstr>Aforo 2</vt:lpstr>
      <vt:lpstr>Aforo 3</vt:lpstr>
      <vt:lpstr>Aforo 4</vt:lpstr>
      <vt:lpstr>'Aforo 2'!Área_de_impresión</vt:lpstr>
      <vt:lpstr>'Aforo 3'!Área_de_impresión</vt:lpstr>
      <vt:lpstr>'Aforo 4'!Área_de_impresión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2019-05-17T15:30:16Z</dcterms:modified>
</cp:coreProperties>
</file>