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10" r:id="rId2"/>
    <sheet name="Aforo 2" sheetId="111" r:id="rId3"/>
    <sheet name="Aforo 3" sheetId="112" r:id="rId4"/>
    <sheet name="Aforo 4" sheetId="113" r:id="rId5"/>
  </sheets>
  <definedNames>
    <definedName name="_xlnm.Print_Area" localSheetId="1">'Aforo 1'!$B$1:$P$103</definedName>
    <definedName name="_xlnm.Print_Area" localSheetId="2">'Aforo 2'!$B$1:$P$113</definedName>
    <definedName name="_xlnm.Print_Area" localSheetId="3">'Aforo 3'!$B$1:$P$103</definedName>
    <definedName name="_xlnm.Print_Area" localSheetId="4">'Aforo 4'!$B$1:$P$148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7" i="113" l="1"/>
  <c r="O136" i="113"/>
  <c r="G131" i="113"/>
  <c r="G130" i="113"/>
  <c r="G129" i="113"/>
  <c r="G127" i="113"/>
  <c r="D127" i="113"/>
  <c r="G125" i="113"/>
  <c r="G124" i="113"/>
  <c r="G123" i="113"/>
  <c r="K122" i="113"/>
  <c r="E122" i="113"/>
  <c r="G132" i="113" s="1"/>
  <c r="D122" i="113"/>
  <c r="G113" i="113"/>
  <c r="G112" i="113"/>
  <c r="G111" i="113"/>
  <c r="G110" i="113"/>
  <c r="K109" i="113"/>
  <c r="G108" i="113"/>
  <c r="G107" i="113"/>
  <c r="G106" i="113"/>
  <c r="G105" i="113"/>
  <c r="K104" i="113"/>
  <c r="G103" i="113"/>
  <c r="G102" i="113"/>
  <c r="G101" i="113"/>
  <c r="G100" i="113"/>
  <c r="K99" i="113"/>
  <c r="G98" i="113"/>
  <c r="G97" i="113"/>
  <c r="G96" i="113"/>
  <c r="G95" i="113"/>
  <c r="K94" i="113"/>
  <c r="G93" i="113"/>
  <c r="G92" i="113"/>
  <c r="G91" i="113"/>
  <c r="G90" i="113"/>
  <c r="K89" i="113"/>
  <c r="G88" i="113"/>
  <c r="G87" i="113"/>
  <c r="G86" i="113"/>
  <c r="G85" i="113"/>
  <c r="K84" i="113"/>
  <c r="G83" i="113"/>
  <c r="G82" i="113"/>
  <c r="G81" i="113"/>
  <c r="G80" i="113"/>
  <c r="K79" i="113"/>
  <c r="G78" i="113"/>
  <c r="G77" i="113"/>
  <c r="G76" i="113"/>
  <c r="G75" i="113"/>
  <c r="K74" i="113"/>
  <c r="G73" i="113"/>
  <c r="G72" i="113"/>
  <c r="G71" i="113"/>
  <c r="G70" i="113"/>
  <c r="K69" i="113"/>
  <c r="G68" i="113"/>
  <c r="G67" i="113"/>
  <c r="G66" i="113"/>
  <c r="G65" i="113"/>
  <c r="K64" i="113"/>
  <c r="G63" i="113"/>
  <c r="G62" i="113"/>
  <c r="G61" i="113"/>
  <c r="G60" i="113"/>
  <c r="K59" i="113"/>
  <c r="G58" i="113"/>
  <c r="G57" i="113"/>
  <c r="G56" i="113"/>
  <c r="G55" i="113"/>
  <c r="K54" i="113"/>
  <c r="G53" i="113"/>
  <c r="G52" i="113"/>
  <c r="G51" i="113"/>
  <c r="G50" i="113"/>
  <c r="K49" i="113"/>
  <c r="G48" i="113"/>
  <c r="G47" i="113"/>
  <c r="G46" i="113"/>
  <c r="G45" i="113"/>
  <c r="K44" i="113"/>
  <c r="G43" i="113"/>
  <c r="G42" i="113"/>
  <c r="G41" i="113"/>
  <c r="G40" i="113"/>
  <c r="G38" i="113"/>
  <c r="G37" i="113"/>
  <c r="G36" i="113"/>
  <c r="G35" i="113"/>
  <c r="K34" i="113"/>
  <c r="G33" i="113"/>
  <c r="G32" i="113"/>
  <c r="G31" i="113"/>
  <c r="G30" i="113"/>
  <c r="K29" i="113"/>
  <c r="B29" i="113"/>
  <c r="B34" i="113" s="1"/>
  <c r="B39" i="113" s="1"/>
  <c r="G28" i="113"/>
  <c r="G27" i="113"/>
  <c r="G26" i="113"/>
  <c r="G25" i="113"/>
  <c r="K24" i="113"/>
  <c r="B24" i="113"/>
  <c r="G23" i="113"/>
  <c r="G22" i="113"/>
  <c r="G21" i="113"/>
  <c r="G20" i="113"/>
  <c r="K19" i="113"/>
  <c r="C18" i="113"/>
  <c r="C19" i="113" s="1"/>
  <c r="C24" i="113" l="1"/>
  <c r="L19" i="113"/>
  <c r="B122" i="113"/>
  <c r="B44" i="113"/>
  <c r="B49" i="113" s="1"/>
  <c r="B54" i="113" s="1"/>
  <c r="B59" i="113" s="1"/>
  <c r="B64" i="113" s="1"/>
  <c r="B69" i="113" s="1"/>
  <c r="B74" i="113" s="1"/>
  <c r="B79" i="113" s="1"/>
  <c r="B84" i="113" s="1"/>
  <c r="B89" i="113" s="1"/>
  <c r="B94" i="113" s="1"/>
  <c r="B99" i="113" s="1"/>
  <c r="B104" i="113" s="1"/>
  <c r="B109" i="113" s="1"/>
  <c r="G126" i="113"/>
  <c r="G128" i="113"/>
  <c r="M19" i="113" l="1"/>
  <c r="C29" i="113"/>
  <c r="L24" i="113"/>
  <c r="M24" i="113" s="1"/>
  <c r="C34" i="113" l="1"/>
  <c r="L29" i="113"/>
  <c r="M29" i="113" s="1"/>
  <c r="C122" i="113" l="1"/>
  <c r="C39" i="113"/>
  <c r="L34" i="113"/>
  <c r="M34" i="113" l="1"/>
  <c r="C44" i="113"/>
  <c r="C127" i="113"/>
  <c r="L122" i="113" s="1"/>
  <c r="M122" i="113" s="1"/>
  <c r="C49" i="113" l="1"/>
  <c r="L44" i="113"/>
  <c r="M44" i="113" l="1"/>
  <c r="C54" i="113"/>
  <c r="L49" i="113"/>
  <c r="M49" i="113" s="1"/>
  <c r="C59" i="113" l="1"/>
  <c r="L54" i="113"/>
  <c r="M54" i="113" s="1"/>
  <c r="C64" i="113" l="1"/>
  <c r="L59" i="113"/>
  <c r="M59" i="113" s="1"/>
  <c r="C69" i="113" l="1"/>
  <c r="L64" i="113"/>
  <c r="M64" i="113" s="1"/>
  <c r="C74" i="113" l="1"/>
  <c r="L69" i="113"/>
  <c r="M69" i="113" s="1"/>
  <c r="C79" i="113" l="1"/>
  <c r="L74" i="113"/>
  <c r="M74" i="113" s="1"/>
  <c r="C84" i="113" l="1"/>
  <c r="L79" i="113"/>
  <c r="M79" i="113" s="1"/>
  <c r="C89" i="113" l="1"/>
  <c r="L84" i="113"/>
  <c r="M84" i="113" s="1"/>
  <c r="C94" i="113" l="1"/>
  <c r="L89" i="113"/>
  <c r="M89" i="113" s="1"/>
  <c r="C99" i="113" l="1"/>
  <c r="L94" i="113"/>
  <c r="M94" i="113" s="1"/>
  <c r="C104" i="113" l="1"/>
  <c r="L99" i="113"/>
  <c r="M99" i="113" s="1"/>
  <c r="C109" i="113" l="1"/>
  <c r="L109" i="113" s="1"/>
  <c r="L104" i="113"/>
  <c r="M104" i="113" s="1"/>
  <c r="M109" i="113" l="1"/>
  <c r="L133" i="113"/>
  <c r="M133" i="113" l="1"/>
  <c r="K133" i="113" l="1"/>
  <c r="N24" i="113"/>
  <c r="N19" i="113"/>
  <c r="N29" i="113"/>
  <c r="N122" i="113"/>
  <c r="N34" i="113"/>
  <c r="N44" i="113"/>
  <c r="N49" i="113"/>
  <c r="N54" i="113"/>
  <c r="N59" i="113"/>
  <c r="N64" i="113"/>
  <c r="N69" i="113"/>
  <c r="N74" i="113"/>
  <c r="N79" i="113"/>
  <c r="N84" i="113"/>
  <c r="N89" i="113"/>
  <c r="N94" i="113"/>
  <c r="N99" i="113"/>
  <c r="N104" i="113"/>
  <c r="N109" i="113"/>
  <c r="N133" i="113" l="1"/>
  <c r="O92" i="112" l="1"/>
  <c r="O91" i="112"/>
  <c r="G86" i="112"/>
  <c r="G82" i="112"/>
  <c r="D82" i="112"/>
  <c r="G80" i="112"/>
  <c r="G79" i="112"/>
  <c r="K77" i="112"/>
  <c r="E77" i="112"/>
  <c r="G85" i="112" s="1"/>
  <c r="D77" i="112"/>
  <c r="B77" i="112"/>
  <c r="G68" i="112"/>
  <c r="G67" i="112"/>
  <c r="G66" i="112"/>
  <c r="G65" i="112"/>
  <c r="K64" i="112"/>
  <c r="G63" i="112"/>
  <c r="G62" i="112"/>
  <c r="G61" i="112"/>
  <c r="G60" i="112"/>
  <c r="K59" i="112"/>
  <c r="G58" i="112"/>
  <c r="G57" i="112"/>
  <c r="G56" i="112"/>
  <c r="G55" i="112"/>
  <c r="K54" i="112"/>
  <c r="G53" i="112"/>
  <c r="G52" i="112"/>
  <c r="G51" i="112"/>
  <c r="G50" i="112"/>
  <c r="K49" i="112"/>
  <c r="G48" i="112"/>
  <c r="G47" i="112"/>
  <c r="G46" i="112"/>
  <c r="G45" i="112"/>
  <c r="G43" i="112"/>
  <c r="G42" i="112"/>
  <c r="G41" i="112"/>
  <c r="G40" i="112"/>
  <c r="K39" i="112"/>
  <c r="G38" i="112"/>
  <c r="G37" i="112"/>
  <c r="G36" i="112"/>
  <c r="G35" i="112"/>
  <c r="K34" i="112"/>
  <c r="G33" i="112"/>
  <c r="G32" i="112"/>
  <c r="G31" i="112"/>
  <c r="G30" i="112"/>
  <c r="K29" i="112"/>
  <c r="G28" i="112"/>
  <c r="G27" i="112"/>
  <c r="G26" i="112"/>
  <c r="G25" i="112"/>
  <c r="K24" i="112"/>
  <c r="G23" i="112"/>
  <c r="G22" i="112"/>
  <c r="G21" i="112"/>
  <c r="G20" i="112"/>
  <c r="K19" i="112"/>
  <c r="C19" i="112"/>
  <c r="L19" i="112" s="1"/>
  <c r="C18" i="112"/>
  <c r="M19" i="112" l="1"/>
  <c r="G81" i="112"/>
  <c r="G83" i="112"/>
  <c r="G87" i="112"/>
  <c r="C24" i="112"/>
  <c r="G78" i="112"/>
  <c r="G84" i="112"/>
  <c r="L24" i="112" l="1"/>
  <c r="C29" i="112"/>
  <c r="M24" i="112" l="1"/>
  <c r="C34" i="112"/>
  <c r="L29" i="112"/>
  <c r="M29" i="112" s="1"/>
  <c r="C39" i="112" l="1"/>
  <c r="L34" i="112"/>
  <c r="M34" i="112" s="1"/>
  <c r="C77" i="112" l="1"/>
  <c r="L39" i="112"/>
  <c r="C44" i="112"/>
  <c r="M39" i="112" l="1"/>
  <c r="C82" i="112"/>
  <c r="L77" i="112" s="1"/>
  <c r="M77" i="112" s="1"/>
  <c r="C49" i="112"/>
  <c r="C54" i="112" l="1"/>
  <c r="L49" i="112"/>
  <c r="M49" i="112" l="1"/>
  <c r="C59" i="112"/>
  <c r="L54" i="112"/>
  <c r="M54" i="112" s="1"/>
  <c r="L59" i="112" l="1"/>
  <c r="M59" i="112" s="1"/>
  <c r="C64" i="112"/>
  <c r="L64" i="112" s="1"/>
  <c r="M64" i="112" l="1"/>
  <c r="L88" i="112"/>
  <c r="M88" i="112" l="1"/>
  <c r="K88" i="112" l="1"/>
  <c r="N19" i="112"/>
  <c r="N24" i="112"/>
  <c r="N29" i="112"/>
  <c r="N34" i="112"/>
  <c r="N77" i="112"/>
  <c r="N39" i="112"/>
  <c r="N54" i="112"/>
  <c r="N49" i="112"/>
  <c r="N59" i="112"/>
  <c r="N64" i="112"/>
  <c r="N88" i="112" l="1"/>
  <c r="O102" i="111" l="1"/>
  <c r="O101" i="111"/>
  <c r="G96" i="111"/>
  <c r="G92" i="111"/>
  <c r="D92" i="111"/>
  <c r="G90" i="111"/>
  <c r="G89" i="111"/>
  <c r="G88" i="111"/>
  <c r="K87" i="111"/>
  <c r="E87" i="111"/>
  <c r="G95" i="111" s="1"/>
  <c r="D87" i="111"/>
  <c r="B87" i="111"/>
  <c r="G78" i="111"/>
  <c r="G77" i="111"/>
  <c r="G76" i="111"/>
  <c r="G75" i="111"/>
  <c r="K74" i="111"/>
  <c r="G73" i="111"/>
  <c r="G72" i="111"/>
  <c r="G71" i="111"/>
  <c r="G70" i="111"/>
  <c r="K69" i="111"/>
  <c r="G68" i="111"/>
  <c r="G67" i="111"/>
  <c r="G66" i="111"/>
  <c r="G65" i="111"/>
  <c r="K64" i="111"/>
  <c r="G63" i="111"/>
  <c r="G62" i="111"/>
  <c r="G61" i="111"/>
  <c r="G60" i="111"/>
  <c r="K59" i="111"/>
  <c r="G58" i="111"/>
  <c r="G57" i="111"/>
  <c r="G56" i="111"/>
  <c r="G55" i="111"/>
  <c r="G53" i="111"/>
  <c r="G52" i="111"/>
  <c r="G51" i="111"/>
  <c r="G50" i="111"/>
  <c r="K49" i="111"/>
  <c r="G48" i="111"/>
  <c r="G47" i="111"/>
  <c r="G46" i="111"/>
  <c r="G45" i="111"/>
  <c r="K44" i="111"/>
  <c r="G43" i="111"/>
  <c r="G42" i="111"/>
  <c r="G41" i="111"/>
  <c r="G40" i="111"/>
  <c r="K39" i="111"/>
  <c r="G38" i="111"/>
  <c r="G37" i="111"/>
  <c r="G36" i="111"/>
  <c r="G35" i="111"/>
  <c r="K34" i="111"/>
  <c r="G33" i="111"/>
  <c r="G32" i="111"/>
  <c r="G31" i="111"/>
  <c r="G30" i="111"/>
  <c r="K29" i="111"/>
  <c r="G28" i="111"/>
  <c r="G27" i="111"/>
  <c r="G26" i="111"/>
  <c r="G25" i="111"/>
  <c r="K24" i="111"/>
  <c r="G23" i="111"/>
  <c r="G22" i="111"/>
  <c r="G21" i="111"/>
  <c r="G20" i="111"/>
  <c r="L19" i="111"/>
  <c r="K19" i="111"/>
  <c r="C19" i="111"/>
  <c r="C24" i="111" s="1"/>
  <c r="C18" i="111"/>
  <c r="L24" i="111" l="1"/>
  <c r="C29" i="111"/>
  <c r="M19" i="111"/>
  <c r="G91" i="111"/>
  <c r="G93" i="111"/>
  <c r="G97" i="111"/>
  <c r="G94" i="111"/>
  <c r="L29" i="111" l="1"/>
  <c r="M29" i="111" s="1"/>
  <c r="C34" i="111"/>
  <c r="M24" i="111"/>
  <c r="L34" i="111" l="1"/>
  <c r="M34" i="111" s="1"/>
  <c r="C39" i="111"/>
  <c r="C44" i="111" l="1"/>
  <c r="L39" i="111"/>
  <c r="M39" i="111" s="1"/>
  <c r="C49" i="111" l="1"/>
  <c r="L44" i="111"/>
  <c r="M44" i="111" s="1"/>
  <c r="C87" i="111" l="1"/>
  <c r="L49" i="111"/>
  <c r="M49" i="111" s="1"/>
  <c r="C54" i="111"/>
  <c r="C92" i="111" l="1"/>
  <c r="L87" i="111" s="1"/>
  <c r="C59" i="111"/>
  <c r="M87" i="111" l="1"/>
  <c r="C64" i="111"/>
  <c r="L59" i="111"/>
  <c r="M59" i="111" s="1"/>
  <c r="C69" i="111" l="1"/>
  <c r="L64" i="111"/>
  <c r="M64" i="111" s="1"/>
  <c r="L69" i="111" l="1"/>
  <c r="M69" i="111" s="1"/>
  <c r="C74" i="111"/>
  <c r="L74" i="111" s="1"/>
  <c r="M74" i="111" s="1"/>
  <c r="L98" i="111"/>
  <c r="M98" i="111" l="1"/>
  <c r="N69" i="111" s="1"/>
  <c r="K98" i="111" l="1"/>
  <c r="N19" i="111"/>
  <c r="N29" i="111"/>
  <c r="N24" i="111"/>
  <c r="N34" i="111"/>
  <c r="N39" i="111"/>
  <c r="N44" i="111"/>
  <c r="N49" i="111"/>
  <c r="N59" i="111"/>
  <c r="N87" i="111"/>
  <c r="N64" i="111"/>
  <c r="N74" i="111"/>
  <c r="N98" i="111" l="1"/>
  <c r="O92" i="110" l="1"/>
  <c r="O91" i="110"/>
  <c r="G86" i="110"/>
  <c r="G82" i="110"/>
  <c r="D82" i="110"/>
  <c r="G80" i="110"/>
  <c r="G78" i="110"/>
  <c r="K77" i="110"/>
  <c r="E77" i="110"/>
  <c r="G85" i="110" s="1"/>
  <c r="D77" i="110"/>
  <c r="B77" i="110"/>
  <c r="G68" i="110"/>
  <c r="G67" i="110"/>
  <c r="G66" i="110"/>
  <c r="G65" i="110"/>
  <c r="K64" i="110"/>
  <c r="G63" i="110"/>
  <c r="G62" i="110"/>
  <c r="G61" i="110"/>
  <c r="G60" i="110"/>
  <c r="K59" i="110"/>
  <c r="G58" i="110"/>
  <c r="G57" i="110"/>
  <c r="G56" i="110"/>
  <c r="G55" i="110"/>
  <c r="K54" i="110"/>
  <c r="G53" i="110"/>
  <c r="G52" i="110"/>
  <c r="G51" i="110"/>
  <c r="G50" i="110"/>
  <c r="K49" i="110"/>
  <c r="G48" i="110"/>
  <c r="G47" i="110"/>
  <c r="G46" i="110"/>
  <c r="G45" i="110"/>
  <c r="K44" i="110"/>
  <c r="G43" i="110"/>
  <c r="G42" i="110"/>
  <c r="G41" i="110"/>
  <c r="G40" i="110"/>
  <c r="K39" i="110"/>
  <c r="G38" i="110"/>
  <c r="G37" i="110"/>
  <c r="G36" i="110"/>
  <c r="G35" i="110"/>
  <c r="K34" i="110"/>
  <c r="G33" i="110"/>
  <c r="G32" i="110"/>
  <c r="G31" i="110"/>
  <c r="G30" i="110"/>
  <c r="K29" i="110"/>
  <c r="G28" i="110"/>
  <c r="G27" i="110"/>
  <c r="G26" i="110"/>
  <c r="G25" i="110"/>
  <c r="G23" i="110"/>
  <c r="G22" i="110"/>
  <c r="G21" i="110"/>
  <c r="G20" i="110"/>
  <c r="K19" i="110"/>
  <c r="C19" i="110"/>
  <c r="C77" i="110" s="1"/>
  <c r="C18" i="110"/>
  <c r="C24" i="110" l="1"/>
  <c r="G81" i="110"/>
  <c r="G83" i="110"/>
  <c r="G87" i="110"/>
  <c r="L19" i="110"/>
  <c r="G84" i="110"/>
  <c r="G79" i="110"/>
  <c r="C82" i="110" l="1"/>
  <c r="L77" i="110" s="1"/>
  <c r="M77" i="110" s="1"/>
  <c r="C29" i="110"/>
  <c r="M19" i="110"/>
  <c r="C34" i="110" l="1"/>
  <c r="L29" i="110"/>
  <c r="M29" i="110" l="1"/>
  <c r="C39" i="110"/>
  <c r="L34" i="110"/>
  <c r="M34" i="110" s="1"/>
  <c r="L39" i="110" l="1"/>
  <c r="M39" i="110" s="1"/>
  <c r="C44" i="110"/>
  <c r="L44" i="110" l="1"/>
  <c r="C49" i="110"/>
  <c r="M44" i="110" l="1"/>
  <c r="C54" i="110"/>
  <c r="L49" i="110"/>
  <c r="M49" i="110" s="1"/>
  <c r="C59" i="110" l="1"/>
  <c r="L54" i="110"/>
  <c r="M54" i="110" s="1"/>
  <c r="L59" i="110" l="1"/>
  <c r="M59" i="110" s="1"/>
  <c r="C64" i="110"/>
  <c r="L64" i="110" s="1"/>
  <c r="M64" i="110" l="1"/>
  <c r="L88" i="110"/>
  <c r="M88" i="110" l="1"/>
  <c r="K88" i="110" l="1"/>
  <c r="N19" i="110"/>
  <c r="N77" i="110"/>
  <c r="N29" i="110"/>
  <c r="N34" i="110"/>
  <c r="N39" i="110"/>
  <c r="N49" i="110"/>
  <c r="N44" i="110"/>
  <c r="N54" i="110"/>
  <c r="N59" i="110"/>
  <c r="N64" i="110"/>
  <c r="N88" i="110" l="1"/>
</calcChain>
</file>

<file path=xl/sharedStrings.xml><?xml version="1.0" encoding="utf-8"?>
<sst xmlns="http://schemas.openxmlformats.org/spreadsheetml/2006/main" count="699" uniqueCount="125">
  <si>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</si>
  <si>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</si>
  <si>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</si>
  <si>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</si>
  <si>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</si>
  <si>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</si>
  <si>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</si>
  <si>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</si>
  <si>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</si>
  <si>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</si>
  <si>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</si>
  <si>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</si>
  <si>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</si>
  <si>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</si>
  <si>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</si>
  <si>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</si>
  <si>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</si>
  <si>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</si>
  <si>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</si>
  <si>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</si>
  <si>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</si>
  <si>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</si>
  <si>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</si>
  <si>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</si>
  <si>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</si>
  <si>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</si>
  <si>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</si>
  <si>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</si>
  <si>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</si>
  <si>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</si>
  <si>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</si>
  <si>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</si>
  <si>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</si>
  <si>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</si>
  <si>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</si>
  <si>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</si>
  <si>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</si>
  <si>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</si>
  <si>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</si>
  <si>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</si>
  <si>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</si>
  <si>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</si>
  <si>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</si>
  <si>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</si>
  <si>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</si>
  <si>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</si>
  <si>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</si>
  <si>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</si>
  <si>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</si>
  <si>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</si>
  <si>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</si>
  <si>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</si>
  <si>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</si>
  <si>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</si>
  <si>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</si>
  <si>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</si>
  <si>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</si>
  <si>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</si>
  <si>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</si>
  <si>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</si>
  <si>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</si>
  <si>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</si>
  <si>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</si>
  <si>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</si>
  <si>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</si>
  <si>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</si>
  <si>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</si>
  <si>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</si>
  <si>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</si>
  <si>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</si>
  <si>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</si>
  <si>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</si>
  <si>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</si>
  <si>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</si>
  <si>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</si>
  <si>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</si>
  <si>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</si>
  <si>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</si>
  <si>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</si>
  <si>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</si>
  <si>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</si>
  <si>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</si>
  <si>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</si>
  <si>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</si>
  <si>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</si>
  <si>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</si>
  <si>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</si>
  <si>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</si>
  <si>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</si>
  <si>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</si>
  <si>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</si>
  <si>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</si>
  <si>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</si>
  <si>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</si>
  <si>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</si>
  <si>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</si>
  <si>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</si>
  <si>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</si>
  <si>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</si>
  <si>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</si>
  <si>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</si>
  <si>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</si>
  <si>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</si>
  <si>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Calido</t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</si>
  <si>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</si>
  <si>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>Proceso de aforo</t>
  </si>
  <si>
    <t>Templado</t>
  </si>
  <si>
    <t>C</t>
  </si>
  <si>
    <t>RIO GUACAICA - CHEC</t>
  </si>
  <si>
    <t>N 05° 08' 22.62"</t>
  </si>
  <si>
    <t>W 75° 29' 59.88"</t>
  </si>
  <si>
    <t xml:space="preserve">Se tomaron muestras de sedimentos en las dovelas #  _____ , _____ , ______ , ______ , _______ </t>
  </si>
  <si>
    <t>Toma de temperatura</t>
  </si>
  <si>
    <t>Preparación de la sección de aforo</t>
  </si>
  <si>
    <t>Aforo</t>
  </si>
  <si>
    <t>El aforo se realizo en una seccion diferente a la que se realizo en la joranda 1, debido a las dificultades que se presentaban para accesdder al mismo.</t>
  </si>
  <si>
    <t>TEMPLADO</t>
  </si>
  <si>
    <t>El aforo se realizo en el mismo lugar de la jornada 2, adicionalmente se realizo con molinete, por lo tanto se tomaron 3 lecturas en cada dovela y 5 en la dovela mas profunda</t>
  </si>
  <si>
    <t>RIO GUACAICA CHEC</t>
  </si>
  <si>
    <t>Soleado</t>
  </si>
  <si>
    <t>La seccion de aforo es diferente a la seccion de las jornadas 2 y 3, debido a que en las mismas se presentaron cambios, depositacion de rocas de gran tamaño, de manera que se hace imposible realizar el aforo en este punto.</t>
  </si>
  <si>
    <t>TOMA DE LA TEMPERATURA</t>
  </si>
  <si>
    <t>DETALLE GENERAL DEL AFORO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</si>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</sst>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249977111117893"/>
        <bgColor rgb="FFEEECE1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rgb="FFE5B8B7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66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Font="1" applyBorder="1"/>
    <xf numFmtId="0" fontId="2" fillId="0" borderId="38" xfId="0" applyFont="1" applyBorder="1"/>
    <xf numFmtId="0" fontId="2" fillId="0" borderId="0" xfId="0" applyFont="1"/>
    <xf numFmtId="0" fontId="2" fillId="0" borderId="0" xfId="0" applyFont="1" applyAlignment="1"/>
    <xf numFmtId="0" fontId="17" fillId="6" borderId="77" xfId="0" applyFont="1" applyFill="1" applyBorder="1" applyAlignment="1">
      <alignment horizontal="center" vertical="center"/>
    </xf>
    <xf numFmtId="0" fontId="17" fillId="6" borderId="94" xfId="0" applyFont="1" applyFill="1" applyBorder="1" applyAlignment="1">
      <alignment vertical="center"/>
    </xf>
    <xf numFmtId="0" fontId="17" fillId="6" borderId="94" xfId="0" applyFont="1" applyFill="1" applyBorder="1" applyAlignment="1">
      <alignment horizontal="center" vertical="center"/>
    </xf>
    <xf numFmtId="0" fontId="17" fillId="6" borderId="55" xfId="0" applyFont="1" applyFill="1" applyBorder="1" applyAlignment="1">
      <alignment horizontal="center" vertical="center"/>
    </xf>
    <xf numFmtId="0" fontId="2" fillId="0" borderId="88" xfId="0" applyFont="1" applyBorder="1"/>
    <xf numFmtId="0" fontId="17" fillId="6" borderId="88" xfId="0" applyFont="1" applyFill="1" applyBorder="1" applyAlignment="1">
      <alignment vertical="center"/>
    </xf>
    <xf numFmtId="0" fontId="17" fillId="6" borderId="97" xfId="0" applyFont="1" applyFill="1" applyBorder="1" applyAlignment="1">
      <alignment horizontal="center" vertical="center"/>
    </xf>
    <xf numFmtId="0" fontId="17" fillId="6" borderId="84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6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 wrapText="1"/>
    </xf>
    <xf numFmtId="0" fontId="17" fillId="0" borderId="92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vertical="center"/>
    </xf>
    <xf numFmtId="164" fontId="14" fillId="0" borderId="92" xfId="0" applyNumberFormat="1" applyFont="1" applyFill="1" applyBorder="1" applyAlignment="1">
      <alignment vertical="center"/>
    </xf>
    <xf numFmtId="0" fontId="17" fillId="0" borderId="98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4" xfId="0" applyFont="1" applyFill="1" applyBorder="1" applyAlignment="1">
      <alignment horizontal="center"/>
    </xf>
    <xf numFmtId="2" fontId="14" fillId="0" borderId="94" xfId="0" applyNumberFormat="1" applyFont="1" applyFill="1" applyBorder="1" applyAlignment="1">
      <alignment horizontal="center" vertical="center"/>
    </xf>
    <xf numFmtId="2" fontId="14" fillId="0" borderId="94" xfId="0" applyNumberFormat="1" applyFont="1" applyFill="1" applyBorder="1" applyAlignment="1">
      <alignment vertical="center"/>
    </xf>
    <xf numFmtId="0" fontId="2" fillId="0" borderId="94" xfId="0" applyFont="1" applyFill="1" applyBorder="1"/>
    <xf numFmtId="164" fontId="14" fillId="0" borderId="94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5" xfId="0" applyFont="1" applyFill="1" applyBorder="1" applyAlignment="1">
      <alignment vertical="center" wrapText="1"/>
    </xf>
    <xf numFmtId="0" fontId="21" fillId="0" borderId="38" xfId="0" applyFont="1" applyBorder="1"/>
    <xf numFmtId="2" fontId="14" fillId="10" borderId="109" xfId="0" applyNumberFormat="1" applyFont="1" applyFill="1" applyBorder="1" applyAlignment="1">
      <alignment horizontal="center" vertical="center"/>
    </xf>
    <xf numFmtId="2" fontId="14" fillId="10" borderId="109" xfId="0" applyNumberFormat="1" applyFont="1" applyFill="1" applyBorder="1" applyAlignment="1">
      <alignment horizontal="center"/>
    </xf>
    <xf numFmtId="164" fontId="2" fillId="10" borderId="109" xfId="0" applyNumberFormat="1" applyFont="1" applyFill="1" applyBorder="1" applyAlignment="1">
      <alignment horizontal="center"/>
    </xf>
    <xf numFmtId="164" fontId="2" fillId="9" borderId="109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9" xfId="0" applyFont="1" applyFill="1" applyBorder="1" applyAlignment="1">
      <alignment horizontal="center"/>
    </xf>
    <xf numFmtId="2" fontId="14" fillId="10" borderId="99" xfId="0" applyNumberFormat="1" applyFont="1" applyFill="1" applyBorder="1" applyAlignment="1">
      <alignment horizontal="center" vertical="center"/>
    </xf>
    <xf numFmtId="2" fontId="14" fillId="10" borderId="99" xfId="0" applyNumberFormat="1" applyFont="1" applyFill="1" applyBorder="1" applyAlignment="1">
      <alignment horizontal="center"/>
    </xf>
    <xf numFmtId="164" fontId="2" fillId="10" borderId="99" xfId="0" applyNumberFormat="1" applyFont="1" applyFill="1" applyBorder="1" applyAlignment="1">
      <alignment horizontal="center"/>
    </xf>
    <xf numFmtId="164" fontId="2" fillId="9" borderId="99" xfId="0" applyNumberFormat="1" applyFont="1" applyFill="1" applyBorder="1" applyAlignment="1">
      <alignment horizontal="center"/>
    </xf>
    <xf numFmtId="2" fontId="14" fillId="10" borderId="116" xfId="0" applyNumberFormat="1" applyFont="1" applyFill="1" applyBorder="1" applyAlignment="1">
      <alignment horizontal="center" vertical="center"/>
    </xf>
    <xf numFmtId="2" fontId="14" fillId="10" borderId="116" xfId="0" applyNumberFormat="1" applyFont="1" applyFill="1" applyBorder="1" applyAlignment="1">
      <alignment horizontal="center"/>
    </xf>
    <xf numFmtId="164" fontId="2" fillId="10" borderId="116" xfId="0" applyNumberFormat="1" applyFont="1" applyFill="1" applyBorder="1" applyAlignment="1">
      <alignment horizontal="center"/>
    </xf>
    <xf numFmtId="164" fontId="2" fillId="11" borderId="116" xfId="0" applyNumberFormat="1" applyFont="1" applyFill="1" applyBorder="1" applyAlignment="1">
      <alignment horizontal="center"/>
    </xf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2" fillId="5" borderId="48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0" fontId="22" fillId="0" borderId="4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5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2" fillId="0" borderId="64" xfId="0" applyFont="1" applyFill="1" applyBorder="1" applyAlignment="1">
      <alignment horizontal="center" vertical="center"/>
    </xf>
    <xf numFmtId="0" fontId="23" fillId="0" borderId="71" xfId="0" applyFont="1" applyFill="1" applyBorder="1" applyAlignment="1">
      <alignment vertical="top" wrapText="1"/>
    </xf>
    <xf numFmtId="0" fontId="23" fillId="0" borderId="55" xfId="0" applyFont="1" applyFill="1" applyBorder="1" applyAlignment="1">
      <alignment horizontal="center" vertical="top" wrapText="1"/>
    </xf>
    <xf numFmtId="0" fontId="23" fillId="0" borderId="74" xfId="0" applyFont="1" applyFill="1" applyBorder="1" applyAlignment="1">
      <alignment horizontal="center"/>
    </xf>
    <xf numFmtId="0" fontId="22" fillId="0" borderId="64" xfId="0" applyFont="1" applyFill="1" applyBorder="1" applyAlignment="1">
      <alignment horizontal="center" vertical="top" wrapText="1"/>
    </xf>
    <xf numFmtId="0" fontId="22" fillId="0" borderId="81" xfId="0" applyFont="1" applyFill="1" applyBorder="1" applyAlignment="1">
      <alignment horizontal="center" vertical="center" wrapText="1"/>
    </xf>
    <xf numFmtId="20" fontId="22" fillId="0" borderId="84" xfId="0" applyNumberFormat="1" applyFont="1" applyFill="1" applyBorder="1" applyAlignment="1">
      <alignment horizontal="center" vertical="top"/>
    </xf>
    <xf numFmtId="0" fontId="22" fillId="0" borderId="85" xfId="0" applyFont="1" applyFill="1" applyBorder="1" applyAlignment="1">
      <alignment horizontal="center" vertical="top"/>
    </xf>
    <xf numFmtId="0" fontId="22" fillId="0" borderId="74" xfId="0" applyFont="1" applyFill="1" applyBorder="1" applyAlignment="1">
      <alignment horizontal="center" vertical="center"/>
    </xf>
    <xf numFmtId="0" fontId="22" fillId="0" borderId="88" xfId="0" applyFont="1" applyFill="1" applyBorder="1" applyAlignment="1">
      <alignment horizontal="center" vertical="center"/>
    </xf>
    <xf numFmtId="164" fontId="17" fillId="5" borderId="118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horizontal="center" vertical="center"/>
    </xf>
    <xf numFmtId="164" fontId="21" fillId="0" borderId="0" xfId="0" applyNumberFormat="1" applyFont="1" applyFill="1"/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2" fontId="14" fillId="15" borderId="109" xfId="0" applyNumberFormat="1" applyFont="1" applyFill="1" applyBorder="1" applyAlignment="1">
      <alignment horizontal="center" vertical="center"/>
    </xf>
    <xf numFmtId="2" fontId="14" fillId="15" borderId="109" xfId="0" applyNumberFormat="1" applyFont="1" applyFill="1" applyBorder="1" applyAlignment="1">
      <alignment horizontal="center"/>
    </xf>
    <xf numFmtId="164" fontId="2" fillId="15" borderId="109" xfId="0" applyNumberFormat="1" applyFont="1" applyFill="1" applyBorder="1" applyAlignment="1">
      <alignment horizontal="center"/>
    </xf>
    <xf numFmtId="164" fontId="2" fillId="14" borderId="109" xfId="0" applyNumberFormat="1" applyFont="1" applyFill="1" applyBorder="1" applyAlignment="1">
      <alignment horizontal="center"/>
    </xf>
    <xf numFmtId="0" fontId="14" fillId="15" borderId="99" xfId="0" applyFont="1" applyFill="1" applyBorder="1" applyAlignment="1">
      <alignment horizontal="center"/>
    </xf>
    <xf numFmtId="2" fontId="14" fillId="15" borderId="99" xfId="0" applyNumberFormat="1" applyFont="1" applyFill="1" applyBorder="1" applyAlignment="1">
      <alignment horizontal="center" vertical="center"/>
    </xf>
    <xf numFmtId="2" fontId="14" fillId="15" borderId="99" xfId="0" applyNumberFormat="1" applyFont="1" applyFill="1" applyBorder="1" applyAlignment="1">
      <alignment horizontal="center"/>
    </xf>
    <xf numFmtId="164" fontId="2" fillId="15" borderId="99" xfId="0" applyNumberFormat="1" applyFont="1" applyFill="1" applyBorder="1" applyAlignment="1">
      <alignment horizontal="center"/>
    </xf>
    <xf numFmtId="164" fontId="2" fillId="14" borderId="99" xfId="0" applyNumberFormat="1" applyFont="1" applyFill="1" applyBorder="1" applyAlignment="1">
      <alignment horizontal="center"/>
    </xf>
    <xf numFmtId="2" fontId="14" fillId="15" borderId="116" xfId="0" applyNumberFormat="1" applyFont="1" applyFill="1" applyBorder="1" applyAlignment="1">
      <alignment horizontal="center" vertical="center"/>
    </xf>
    <xf numFmtId="2" fontId="14" fillId="15" borderId="116" xfId="0" applyNumberFormat="1" applyFont="1" applyFill="1" applyBorder="1" applyAlignment="1">
      <alignment horizontal="center"/>
    </xf>
    <xf numFmtId="164" fontId="2" fillId="15" borderId="116" xfId="0" applyNumberFormat="1" applyFont="1" applyFill="1" applyBorder="1" applyAlignment="1">
      <alignment horizontal="center"/>
    </xf>
    <xf numFmtId="164" fontId="2" fillId="16" borderId="1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2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0" fillId="0" borderId="128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9" xfId="0" applyFont="1" applyBorder="1" applyAlignment="1">
      <alignment horizontal="center" vertical="center" wrapText="1"/>
    </xf>
    <xf numFmtId="0" fontId="0" fillId="0" borderId="13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4" xfId="0" applyFont="1" applyBorder="1" applyAlignment="1">
      <alignment horizontal="left" wrapText="1"/>
    </xf>
    <xf numFmtId="0" fontId="0" fillId="0" borderId="36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3" xfId="0" applyFont="1" applyFill="1" applyBorder="1" applyAlignment="1">
      <alignment horizontal="center" vertical="top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8" xfId="0" applyFont="1" applyFill="1" applyBorder="1" applyAlignment="1">
      <alignment horizontal="center" vertical="center"/>
    </xf>
    <xf numFmtId="0" fontId="14" fillId="3" borderId="95" xfId="0" applyFont="1" applyFill="1" applyBorder="1"/>
    <xf numFmtId="0" fontId="14" fillId="3" borderId="115" xfId="0" applyFont="1" applyFill="1" applyBorder="1"/>
    <xf numFmtId="166" fontId="14" fillId="10" borderId="108" xfId="0" applyNumberFormat="1" applyFont="1" applyFill="1" applyBorder="1" applyAlignment="1">
      <alignment horizontal="center" vertical="center"/>
    </xf>
    <xf numFmtId="0" fontId="14" fillId="10" borderId="110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17" xfId="0" applyFont="1" applyFill="1" applyBorder="1"/>
    <xf numFmtId="2" fontId="14" fillId="9" borderId="97" xfId="0" applyNumberFormat="1" applyFont="1" applyFill="1" applyBorder="1" applyAlignment="1">
      <alignment horizontal="center" vertical="center"/>
    </xf>
    <xf numFmtId="164" fontId="14" fillId="9" borderId="97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7" xfId="0" applyFont="1" applyFill="1" applyBorder="1" applyAlignment="1">
      <alignment horizontal="center" vertical="center"/>
    </xf>
    <xf numFmtId="0" fontId="14" fillId="3" borderId="111" xfId="0" applyFont="1" applyFill="1" applyBorder="1"/>
    <xf numFmtId="0" fontId="14" fillId="3" borderId="114" xfId="0" applyFont="1" applyFill="1" applyBorder="1"/>
    <xf numFmtId="2" fontId="14" fillId="9" borderId="108" xfId="0" applyNumberFormat="1" applyFont="1" applyFill="1" applyBorder="1" applyAlignment="1">
      <alignment horizontal="center" vertical="center"/>
    </xf>
    <xf numFmtId="0" fontId="14" fillId="3" borderId="113" xfId="0" applyFont="1" applyFill="1" applyBorder="1"/>
    <xf numFmtId="164" fontId="14" fillId="9" borderId="108" xfId="0" applyNumberFormat="1" applyFont="1" applyFill="1" applyBorder="1" applyAlignment="1">
      <alignment horizontal="center" vertical="center"/>
    </xf>
    <xf numFmtId="164" fontId="14" fillId="10" borderId="108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0" fontId="14" fillId="0" borderId="95" xfId="0" applyFont="1" applyFill="1" applyBorder="1"/>
    <xf numFmtId="0" fontId="14" fillId="0" borderId="101" xfId="0" applyFont="1" applyFill="1" applyBorder="1"/>
    <xf numFmtId="165" fontId="14" fillId="0" borderId="92" xfId="0" applyNumberFormat="1" applyFont="1" applyFill="1" applyBorder="1" applyAlignment="1">
      <alignment horizontal="center" vertical="center"/>
    </xf>
    <xf numFmtId="0" fontId="14" fillId="0" borderId="92" xfId="0" applyFont="1" applyFill="1" applyBorder="1" applyAlignment="1">
      <alignment horizontal="center" vertical="center"/>
    </xf>
    <xf numFmtId="0" fontId="14" fillId="0" borderId="98" xfId="0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3" xfId="0" applyFont="1" applyFill="1" applyBorder="1"/>
    <xf numFmtId="0" fontId="4" fillId="8" borderId="104" xfId="0" applyFont="1" applyFill="1" applyBorder="1" applyAlignment="1">
      <alignment horizontal="center" vertical="center" textRotation="90"/>
    </xf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6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14" fillId="0" borderId="80" xfId="0" applyFont="1" applyFill="1" applyBorder="1"/>
    <xf numFmtId="2" fontId="14" fillId="0" borderId="92" xfId="0" applyNumberFormat="1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/>
    </xf>
    <xf numFmtId="0" fontId="14" fillId="7" borderId="43" xfId="0" applyFont="1" applyFill="1" applyBorder="1" applyAlignment="1">
      <alignment horizontal="center"/>
    </xf>
    <xf numFmtId="0" fontId="14" fillId="0" borderId="43" xfId="0" applyFont="1" applyBorder="1"/>
    <xf numFmtId="0" fontId="14" fillId="0" borderId="44" xfId="0" applyFont="1" applyBorder="1"/>
    <xf numFmtId="0" fontId="17" fillId="6" borderId="76" xfId="0" applyFont="1" applyFill="1" applyBorder="1" applyAlignment="1">
      <alignment horizontal="center" vertical="center" wrapText="1"/>
    </xf>
    <xf numFmtId="0" fontId="14" fillId="0" borderId="73" xfId="0" applyFont="1" applyBorder="1"/>
    <xf numFmtId="0" fontId="17" fillId="6" borderId="92" xfId="0" applyFont="1" applyFill="1" applyBorder="1" applyAlignment="1">
      <alignment horizontal="center" vertical="center" wrapText="1"/>
    </xf>
    <xf numFmtId="0" fontId="14" fillId="0" borderId="95" xfId="0" applyFont="1" applyBorder="1"/>
    <xf numFmtId="0" fontId="17" fillId="6" borderId="92" xfId="0" applyFont="1" applyFill="1" applyBorder="1" applyAlignment="1">
      <alignment horizontal="center" vertical="center"/>
    </xf>
    <xf numFmtId="0" fontId="17" fillId="6" borderId="52" xfId="0" applyFont="1" applyFill="1" applyBorder="1" applyAlignment="1">
      <alignment horizontal="center" vertical="center"/>
    </xf>
    <xf numFmtId="0" fontId="14" fillId="0" borderId="40" xfId="0" applyFont="1" applyBorder="1"/>
    <xf numFmtId="0" fontId="14" fillId="0" borderId="78" xfId="0" applyFont="1" applyBorder="1"/>
    <xf numFmtId="0" fontId="14" fillId="0" borderId="0" xfId="0" applyFont="1" applyBorder="1"/>
    <xf numFmtId="0" fontId="17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7" fillId="6" borderId="39" xfId="0" applyFont="1" applyFill="1" applyBorder="1" applyAlignment="1">
      <alignment horizontal="center" vertical="center" textRotation="90" wrapText="1"/>
    </xf>
    <xf numFmtId="0" fontId="14" fillId="0" borderId="90" xfId="0" applyFont="1" applyBorder="1"/>
    <xf numFmtId="0" fontId="14" fillId="0" borderId="42" xfId="0" applyFont="1" applyBorder="1"/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7" borderId="9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1" xfId="0" applyFont="1" applyBorder="1"/>
    <xf numFmtId="0" fontId="14" fillId="7" borderId="42" xfId="0" applyFont="1" applyFill="1" applyBorder="1" applyAlignment="1">
      <alignment horizontal="center" vertical="center" wrapText="1"/>
    </xf>
    <xf numFmtId="0" fontId="2" fillId="0" borderId="83" xfId="0" applyFont="1" applyFill="1" applyBorder="1" applyAlignment="1">
      <alignment horizontal="center" vertical="center" wrapText="1"/>
    </xf>
    <xf numFmtId="0" fontId="14" fillId="0" borderId="86" xfId="0" applyFont="1" applyFill="1" applyBorder="1"/>
    <xf numFmtId="0" fontId="2" fillId="0" borderId="62" xfId="0" applyFont="1" applyFill="1" applyBorder="1" applyAlignment="1">
      <alignment horizontal="center" vertical="center"/>
    </xf>
    <xf numFmtId="0" fontId="14" fillId="0" borderId="63" xfId="0" applyFont="1" applyFill="1" applyBorder="1"/>
    <xf numFmtId="0" fontId="2" fillId="0" borderId="62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 vertical="top"/>
    </xf>
    <xf numFmtId="0" fontId="22" fillId="0" borderId="62" xfId="0" applyFont="1" applyFill="1" applyBorder="1" applyAlignment="1">
      <alignment horizontal="center" vertical="center" wrapText="1"/>
    </xf>
    <xf numFmtId="0" fontId="15" fillId="0" borderId="89" xfId="0" applyFont="1" applyFill="1" applyBorder="1"/>
    <xf numFmtId="0" fontId="2" fillId="0" borderId="81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14" fillId="0" borderId="75" xfId="0" applyFont="1" applyFill="1" applyBorder="1"/>
    <xf numFmtId="0" fontId="2" fillId="0" borderId="83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 vertical="top"/>
    </xf>
    <xf numFmtId="0" fontId="14" fillId="0" borderId="54" xfId="0" applyFont="1" applyFill="1" applyBorder="1"/>
    <xf numFmtId="0" fontId="22" fillId="0" borderId="65" xfId="0" applyFont="1" applyFill="1" applyBorder="1" applyAlignment="1">
      <alignment horizontal="center"/>
    </xf>
    <xf numFmtId="0" fontId="15" fillId="0" borderId="65" xfId="0" applyFont="1" applyFill="1" applyBorder="1"/>
    <xf numFmtId="0" fontId="23" fillId="0" borderId="66" xfId="0" applyFont="1" applyFill="1" applyBorder="1" applyAlignment="1">
      <alignment horizontal="center"/>
    </xf>
    <xf numFmtId="0" fontId="15" fillId="0" borderId="67" xfId="0" applyFont="1" applyFill="1" applyBorder="1"/>
    <xf numFmtId="0" fontId="15" fillId="0" borderId="68" xfId="0" applyFont="1" applyFill="1" applyBorder="1"/>
    <xf numFmtId="0" fontId="23" fillId="0" borderId="69" xfId="0" applyFont="1" applyFill="1" applyBorder="1" applyAlignment="1">
      <alignment horizontal="center"/>
    </xf>
    <xf numFmtId="0" fontId="15" fillId="0" borderId="70" xfId="0" applyFont="1" applyFill="1" applyBorder="1"/>
    <xf numFmtId="0" fontId="17" fillId="6" borderId="72" xfId="0" applyFont="1" applyFill="1" applyBorder="1" applyAlignment="1">
      <alignment horizontal="center" vertical="center" wrapText="1"/>
    </xf>
    <xf numFmtId="0" fontId="14" fillId="0" borderId="79" xfId="0" applyFont="1" applyBorder="1"/>
    <xf numFmtId="0" fontId="14" fillId="0" borderId="87" xfId="0" applyFont="1" applyBorder="1"/>
    <xf numFmtId="0" fontId="24" fillId="0" borderId="73" xfId="0" applyFont="1" applyFill="1" applyBorder="1" applyAlignment="1">
      <alignment horizontal="center" vertical="center" wrapText="1"/>
    </xf>
    <xf numFmtId="0" fontId="2" fillId="0" borderId="74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/>
    </xf>
    <xf numFmtId="0" fontId="22" fillId="0" borderId="78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40" xfId="0" applyFont="1" applyFill="1" applyBorder="1"/>
    <xf numFmtId="0" fontId="15" fillId="0" borderId="41" xfId="0" applyFont="1" applyFill="1" applyBorder="1"/>
    <xf numFmtId="0" fontId="15" fillId="0" borderId="82" xfId="0" applyFont="1" applyFill="1" applyBorder="1"/>
    <xf numFmtId="0" fontId="15" fillId="0" borderId="43" xfId="0" applyFont="1" applyFill="1" applyBorder="1"/>
    <xf numFmtId="0" fontId="15" fillId="0" borderId="44" xfId="0" applyFont="1" applyFill="1" applyBorder="1"/>
    <xf numFmtId="0" fontId="2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vertical="center"/>
    </xf>
    <xf numFmtId="0" fontId="22" fillId="0" borderId="52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vertical="center"/>
    </xf>
    <xf numFmtId="0" fontId="15" fillId="0" borderId="41" xfId="0" applyFont="1" applyFill="1" applyBorder="1" applyAlignment="1">
      <alignment vertical="center"/>
    </xf>
    <xf numFmtId="0" fontId="16" fillId="0" borderId="52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vertical="center"/>
    </xf>
    <xf numFmtId="0" fontId="17" fillId="6" borderId="39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center"/>
    </xf>
    <xf numFmtId="0" fontId="14" fillId="0" borderId="56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4" fillId="0" borderId="59" xfId="0" applyFont="1" applyFill="1" applyBorder="1"/>
    <xf numFmtId="0" fontId="2" fillId="0" borderId="56" xfId="0" applyFont="1" applyFill="1" applyBorder="1" applyAlignment="1">
      <alignment horizontal="center" vertical="center" wrapText="1"/>
    </xf>
    <xf numFmtId="0" fontId="14" fillId="0" borderId="60" xfId="0" applyFont="1" applyFill="1" applyBorder="1"/>
    <xf numFmtId="0" fontId="13" fillId="0" borderId="40" xfId="0" applyFont="1" applyBorder="1" applyAlignment="1">
      <alignment horizontal="center" wrapText="1"/>
    </xf>
    <xf numFmtId="14" fontId="22" fillId="0" borderId="46" xfId="0" applyNumberFormat="1" applyFont="1" applyFill="1" applyBorder="1" applyAlignment="1">
      <alignment horizontal="center" vertical="center"/>
    </xf>
    <xf numFmtId="0" fontId="15" fillId="0" borderId="47" xfId="0" applyFont="1" applyFill="1" applyBorder="1"/>
    <xf numFmtId="0" fontId="22" fillId="0" borderId="46" xfId="0" applyFont="1" applyBorder="1" applyAlignment="1">
      <alignment horizontal="center" vertical="center" wrapText="1"/>
    </xf>
    <xf numFmtId="0" fontId="15" fillId="0" borderId="47" xfId="0" applyFont="1" applyBorder="1"/>
    <xf numFmtId="0" fontId="15" fillId="0" borderId="49" xfId="0" applyFont="1" applyBorder="1"/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4" fillId="15" borderId="108" xfId="0" applyFont="1" applyFill="1" applyBorder="1" applyAlignment="1">
      <alignment horizontal="center" vertical="center"/>
    </xf>
    <xf numFmtId="0" fontId="14" fillId="4" borderId="95" xfId="0" applyFont="1" applyFill="1" applyBorder="1"/>
    <xf numFmtId="0" fontId="14" fillId="4" borderId="115" xfId="0" applyFont="1" applyFill="1" applyBorder="1"/>
    <xf numFmtId="166" fontId="14" fillId="15" borderId="108" xfId="0" applyNumberFormat="1" applyFont="1" applyFill="1" applyBorder="1" applyAlignment="1">
      <alignment horizontal="center" vertical="center"/>
    </xf>
    <xf numFmtId="0" fontId="14" fillId="15" borderId="110" xfId="0" applyFont="1" applyFill="1" applyBorder="1" applyAlignment="1">
      <alignment horizontal="center" vertical="center"/>
    </xf>
    <xf numFmtId="0" fontId="14" fillId="4" borderId="112" xfId="0" applyFont="1" applyFill="1" applyBorder="1"/>
    <xf numFmtId="0" fontId="14" fillId="4" borderId="117" xfId="0" applyFont="1" applyFill="1" applyBorder="1"/>
    <xf numFmtId="2" fontId="14" fillId="14" borderId="97" xfId="0" applyNumberFormat="1" applyFont="1" applyFill="1" applyBorder="1" applyAlignment="1">
      <alignment horizontal="center" vertical="center"/>
    </xf>
    <xf numFmtId="164" fontId="14" fillId="14" borderId="97" xfId="0" applyNumberFormat="1" applyFont="1" applyFill="1" applyBorder="1" applyAlignment="1">
      <alignment horizontal="center" vertical="center"/>
    </xf>
    <xf numFmtId="0" fontId="14" fillId="14" borderId="107" xfId="0" applyFont="1" applyFill="1" applyBorder="1" applyAlignment="1">
      <alignment horizontal="center" vertical="center"/>
    </xf>
    <xf numFmtId="0" fontId="14" fillId="4" borderId="111" xfId="0" applyFont="1" applyFill="1" applyBorder="1"/>
    <xf numFmtId="0" fontId="14" fillId="4" borderId="114" xfId="0" applyFont="1" applyFill="1" applyBorder="1"/>
    <xf numFmtId="2" fontId="14" fillId="14" borderId="108" xfId="0" applyNumberFormat="1" applyFont="1" applyFill="1" applyBorder="1" applyAlignment="1">
      <alignment horizontal="center" vertical="center"/>
    </xf>
    <xf numFmtId="0" fontId="14" fillId="4" borderId="113" xfId="0" applyFont="1" applyFill="1" applyBorder="1"/>
    <xf numFmtId="164" fontId="14" fillId="14" borderId="108" xfId="0" applyNumberFormat="1" applyFont="1" applyFill="1" applyBorder="1" applyAlignment="1">
      <alignment horizontal="center" vertical="center"/>
    </xf>
    <xf numFmtId="164" fontId="14" fillId="15" borderId="108" xfId="0" applyNumberFormat="1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 wrapText="1"/>
    </xf>
    <xf numFmtId="0" fontId="0" fillId="0" borderId="122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1" xfId="0" applyFont="1" applyBorder="1" applyAlignment="1">
      <alignment horizontal="center"/>
    </xf>
    <xf numFmtId="0" fontId="3" fillId="0" borderId="127" xfId="0" applyFont="1" applyBorder="1" applyAlignment="1">
      <alignment horizontal="center"/>
    </xf>
    <xf numFmtId="0" fontId="3" fillId="0" borderId="123" xfId="0" applyFont="1" applyBorder="1" applyAlignment="1">
      <alignment horizontal="center"/>
    </xf>
    <xf numFmtId="0" fontId="3" fillId="0" borderId="122" xfId="0" applyFont="1" applyBorder="1" applyAlignment="1">
      <alignment horizontal="center"/>
    </xf>
    <xf numFmtId="0" fontId="0" fillId="0" borderId="121" xfId="0" applyBorder="1" applyAlignment="1">
      <alignment horizontal="center"/>
    </xf>
    <xf numFmtId="0" fontId="1" fillId="4" borderId="121" xfId="0" applyFont="1" applyFill="1" applyBorder="1" applyAlignment="1">
      <alignment horizontal="center"/>
    </xf>
    <xf numFmtId="0" fontId="1" fillId="4" borderId="122" xfId="0" applyFont="1" applyFill="1" applyBorder="1" applyAlignment="1">
      <alignment horizontal="center"/>
    </xf>
    <xf numFmtId="0" fontId="1" fillId="0" borderId="124" xfId="0" applyFont="1" applyFill="1" applyBorder="1" applyAlignment="1">
      <alignment horizontal="center"/>
    </xf>
    <xf numFmtId="0" fontId="1" fillId="0" borderId="125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119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0" fillId="0" borderId="31" xfId="0" applyFont="1" applyBorder="1"/>
    <xf numFmtId="0" fontId="0" fillId="0" borderId="13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1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7" Type="http://schemas.openxmlformats.org/officeDocument/2006/relationships/image" Target="../media/image10.pn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6" Type="http://schemas.openxmlformats.org/officeDocument/2006/relationships/image" Target="../media/image9.png"/><Relationship Id="rId5" Type="http://schemas.openxmlformats.org/officeDocument/2006/relationships/image" Target="../media/image18.jpe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3" Type="http://schemas.openxmlformats.org/officeDocument/2006/relationships/image" Target="../media/image20.jpeg"/><Relationship Id="rId7" Type="http://schemas.openxmlformats.org/officeDocument/2006/relationships/image" Target="../media/image24.jpeg"/><Relationship Id="rId2" Type="http://schemas.openxmlformats.org/officeDocument/2006/relationships/image" Target="../media/image19.jpeg"/><Relationship Id="rId1" Type="http://schemas.openxmlformats.org/officeDocument/2006/relationships/image" Target="../media/image4.jpe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10" Type="http://schemas.openxmlformats.org/officeDocument/2006/relationships/image" Target="../media/image10.png"/><Relationship Id="rId4" Type="http://schemas.openxmlformats.org/officeDocument/2006/relationships/image" Target="../media/image21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19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9</xdr:col>
      <xdr:colOff>0</xdr:colOff>
      <xdr:row>34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078941"/>
          <a:ext cx="5334000" cy="209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4507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90</xdr:row>
      <xdr:rowOff>63500</xdr:rowOff>
    </xdr:from>
    <xdr:to>
      <xdr:col>5</xdr:col>
      <xdr:colOff>408063</xdr:colOff>
      <xdr:row>96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74190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90</xdr:row>
      <xdr:rowOff>63500</xdr:rowOff>
    </xdr:from>
    <xdr:to>
      <xdr:col>10</xdr:col>
      <xdr:colOff>445918</xdr:colOff>
      <xdr:row>96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774190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99</xdr:row>
      <xdr:rowOff>68263</xdr:rowOff>
    </xdr:from>
    <xdr:to>
      <xdr:col>5</xdr:col>
      <xdr:colOff>653369</xdr:colOff>
      <xdr:row>99</xdr:row>
      <xdr:rowOff>1953450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270788"/>
          <a:ext cx="3339419" cy="1885187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99</xdr:row>
      <xdr:rowOff>73763</xdr:rowOff>
    </xdr:from>
    <xdr:to>
      <xdr:col>10</xdr:col>
      <xdr:colOff>624094</xdr:colOff>
      <xdr:row>99</xdr:row>
      <xdr:rowOff>1959618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057" y="20276288"/>
          <a:ext cx="3372737" cy="1885855"/>
        </a:xfrm>
        <a:prstGeom prst="rect">
          <a:avLst/>
        </a:prstGeom>
      </xdr:spPr>
    </xdr:pic>
    <xdr:clientData/>
  </xdr:twoCellAnchor>
  <xdr:twoCellAnchor editAs="oneCell">
    <xdr:from>
      <xdr:col>11</xdr:col>
      <xdr:colOff>81643</xdr:colOff>
      <xdr:row>99</xdr:row>
      <xdr:rowOff>68035</xdr:rowOff>
    </xdr:from>
    <xdr:to>
      <xdr:col>15</xdr:col>
      <xdr:colOff>625928</xdr:colOff>
      <xdr:row>99</xdr:row>
      <xdr:rowOff>1958478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8718" y="20270560"/>
          <a:ext cx="3401785" cy="189044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30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30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84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6222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100</xdr:row>
      <xdr:rowOff>63500</xdr:rowOff>
    </xdr:from>
    <xdr:to>
      <xdr:col>5</xdr:col>
      <xdr:colOff>408063</xdr:colOff>
      <xdr:row>106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945640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100</xdr:row>
      <xdr:rowOff>63500</xdr:rowOff>
    </xdr:from>
    <xdr:to>
      <xdr:col>10</xdr:col>
      <xdr:colOff>445918</xdr:colOff>
      <xdr:row>106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945640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275167</xdr:colOff>
      <xdr:row>109</xdr:row>
      <xdr:rowOff>31751</xdr:rowOff>
    </xdr:from>
    <xdr:to>
      <xdr:col>5</xdr:col>
      <xdr:colOff>497416</xdr:colOff>
      <xdr:row>109</xdr:row>
      <xdr:rowOff>2002489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92" y="21948776"/>
          <a:ext cx="3003549" cy="1970738"/>
        </a:xfrm>
        <a:prstGeom prst="rect">
          <a:avLst/>
        </a:prstGeom>
      </xdr:spPr>
    </xdr:pic>
    <xdr:clientData/>
  </xdr:twoCellAnchor>
  <xdr:twoCellAnchor editAs="oneCell">
    <xdr:from>
      <xdr:col>11</xdr:col>
      <xdr:colOff>328089</xdr:colOff>
      <xdr:row>109</xdr:row>
      <xdr:rowOff>31749</xdr:rowOff>
    </xdr:from>
    <xdr:to>
      <xdr:col>15</xdr:col>
      <xdr:colOff>529171</xdr:colOff>
      <xdr:row>109</xdr:row>
      <xdr:rowOff>1989918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164" y="21948774"/>
          <a:ext cx="3058582" cy="1958169"/>
        </a:xfrm>
        <a:prstGeom prst="rect">
          <a:avLst/>
        </a:prstGeom>
      </xdr:spPr>
    </xdr:pic>
    <xdr:clientData/>
  </xdr:twoCellAnchor>
  <xdr:twoCellAnchor editAs="oneCell">
    <xdr:from>
      <xdr:col>6</xdr:col>
      <xdr:colOff>328084</xdr:colOff>
      <xdr:row>109</xdr:row>
      <xdr:rowOff>21166</xdr:rowOff>
    </xdr:from>
    <xdr:to>
      <xdr:col>10</xdr:col>
      <xdr:colOff>465666</xdr:colOff>
      <xdr:row>109</xdr:row>
      <xdr:rowOff>2000249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284" y="21938191"/>
          <a:ext cx="2995082" cy="197908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30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30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4507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90</xdr:row>
      <xdr:rowOff>63500</xdr:rowOff>
    </xdr:from>
    <xdr:to>
      <xdr:col>5</xdr:col>
      <xdr:colOff>408063</xdr:colOff>
      <xdr:row>96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74190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90</xdr:row>
      <xdr:rowOff>63500</xdr:rowOff>
    </xdr:from>
    <xdr:to>
      <xdr:col>10</xdr:col>
      <xdr:colOff>445918</xdr:colOff>
      <xdr:row>96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774190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299355</xdr:colOff>
      <xdr:row>99</xdr:row>
      <xdr:rowOff>57829</xdr:rowOff>
    </xdr:from>
    <xdr:to>
      <xdr:col>5</xdr:col>
      <xdr:colOff>0</xdr:colOff>
      <xdr:row>99</xdr:row>
      <xdr:rowOff>1945820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880" y="20260354"/>
          <a:ext cx="2481945" cy="1887991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</xdr:colOff>
      <xdr:row>99</xdr:row>
      <xdr:rowOff>76946</xdr:rowOff>
    </xdr:from>
    <xdr:to>
      <xdr:col>9</xdr:col>
      <xdr:colOff>299357</xdr:colOff>
      <xdr:row>99</xdr:row>
      <xdr:rowOff>1982265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1481" y="20279471"/>
          <a:ext cx="1716201" cy="1905319"/>
        </a:xfrm>
        <a:prstGeom prst="rect">
          <a:avLst/>
        </a:prstGeom>
      </xdr:spPr>
    </xdr:pic>
    <xdr:clientData/>
  </xdr:twoCellAnchor>
  <xdr:twoCellAnchor editAs="oneCell">
    <xdr:from>
      <xdr:col>11</xdr:col>
      <xdr:colOff>586393</xdr:colOff>
      <xdr:row>99</xdr:row>
      <xdr:rowOff>55715</xdr:rowOff>
    </xdr:from>
    <xdr:to>
      <xdr:col>15</xdr:col>
      <xdr:colOff>231322</xdr:colOff>
      <xdr:row>99</xdr:row>
      <xdr:rowOff>1952947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3468" y="20258240"/>
          <a:ext cx="2502429" cy="1897232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2222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135</xdr:row>
      <xdr:rowOff>63500</xdr:rowOff>
    </xdr:from>
    <xdr:to>
      <xdr:col>5</xdr:col>
      <xdr:colOff>408063</xdr:colOff>
      <xdr:row>141</xdr:row>
      <xdr:rowOff>246895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5457150"/>
          <a:ext cx="3041196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135</xdr:row>
      <xdr:rowOff>63500</xdr:rowOff>
    </xdr:from>
    <xdr:to>
      <xdr:col>10</xdr:col>
      <xdr:colOff>287168</xdr:colOff>
      <xdr:row>141</xdr:row>
      <xdr:rowOff>246895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5457150"/>
          <a:ext cx="3010260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571500</xdr:colOff>
      <xdr:row>144</xdr:row>
      <xdr:rowOff>31748</xdr:rowOff>
    </xdr:from>
    <xdr:to>
      <xdr:col>3</xdr:col>
      <xdr:colOff>332833</xdr:colOff>
      <xdr:row>144</xdr:row>
      <xdr:rowOff>2011422</xdr:rowOff>
    </xdr:to>
    <xdr:pic>
      <xdr:nvPicPr>
        <xdr:cNvPr id="8" name="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949523"/>
          <a:ext cx="1113883" cy="1979674"/>
        </a:xfrm>
        <a:prstGeom prst="rect">
          <a:avLst/>
        </a:prstGeom>
      </xdr:spPr>
    </xdr:pic>
    <xdr:clientData/>
  </xdr:twoCellAnchor>
  <xdr:twoCellAnchor editAs="oneCell">
    <xdr:from>
      <xdr:col>6</xdr:col>
      <xdr:colOff>202917</xdr:colOff>
      <xdr:row>144</xdr:row>
      <xdr:rowOff>86500</xdr:rowOff>
    </xdr:from>
    <xdr:to>
      <xdr:col>7</xdr:col>
      <xdr:colOff>571500</xdr:colOff>
      <xdr:row>144</xdr:row>
      <xdr:rowOff>2016953</xdr:rowOff>
    </xdr:to>
    <xdr:pic>
      <xdr:nvPicPr>
        <xdr:cNvPr id="9" name="2 Imagen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117" y="28004275"/>
          <a:ext cx="1082958" cy="1930453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105835</xdr:colOff>
      <xdr:row>144</xdr:row>
      <xdr:rowOff>45998</xdr:rowOff>
    </xdr:from>
    <xdr:to>
      <xdr:col>12</xdr:col>
      <xdr:colOff>529168</xdr:colOff>
      <xdr:row>144</xdr:row>
      <xdr:rowOff>2000249</xdr:rowOff>
    </xdr:to>
    <xdr:pic>
      <xdr:nvPicPr>
        <xdr:cNvPr id="10" name="3 Imagen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4835" y="27963773"/>
          <a:ext cx="1137708" cy="1954251"/>
        </a:xfrm>
        <a:prstGeom prst="rect">
          <a:avLst/>
        </a:prstGeom>
      </xdr:spPr>
    </xdr:pic>
    <xdr:clientData/>
  </xdr:twoCellAnchor>
  <xdr:twoCellAnchor editAs="oneCell">
    <xdr:from>
      <xdr:col>8</xdr:col>
      <xdr:colOff>608750</xdr:colOff>
      <xdr:row>144</xdr:row>
      <xdr:rowOff>26668</xdr:rowOff>
    </xdr:from>
    <xdr:to>
      <xdr:col>10</xdr:col>
      <xdr:colOff>90666</xdr:colOff>
      <xdr:row>144</xdr:row>
      <xdr:rowOff>1942483</xdr:rowOff>
    </xdr:to>
    <xdr:pic>
      <xdr:nvPicPr>
        <xdr:cNvPr id="11" name="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2700" y="27944443"/>
          <a:ext cx="1072591" cy="1915815"/>
        </a:xfrm>
        <a:prstGeom prst="rect">
          <a:avLst/>
        </a:prstGeom>
      </xdr:spPr>
    </xdr:pic>
    <xdr:clientData/>
  </xdr:twoCellAnchor>
  <xdr:twoCellAnchor editAs="oneCell">
    <xdr:from>
      <xdr:col>13</xdr:col>
      <xdr:colOff>560916</xdr:colOff>
      <xdr:row>144</xdr:row>
      <xdr:rowOff>63501</xdr:rowOff>
    </xdr:from>
    <xdr:to>
      <xdr:col>15</xdr:col>
      <xdr:colOff>453583</xdr:colOff>
      <xdr:row>144</xdr:row>
      <xdr:rowOff>1947791</xdr:rowOff>
    </xdr:to>
    <xdr:pic>
      <xdr:nvPicPr>
        <xdr:cNvPr id="12" name="5 Imagen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5341" y="27981276"/>
          <a:ext cx="1321417" cy="1884290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137582</xdr:colOff>
      <xdr:row>144</xdr:row>
      <xdr:rowOff>148167</xdr:rowOff>
    </xdr:from>
    <xdr:to>
      <xdr:col>5</xdr:col>
      <xdr:colOff>432622</xdr:colOff>
      <xdr:row>144</xdr:row>
      <xdr:rowOff>1948167</xdr:rowOff>
    </xdr:to>
    <xdr:pic>
      <xdr:nvPicPr>
        <xdr:cNvPr id="13" name="6 Imagen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4032" y="28065942"/>
          <a:ext cx="1009415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4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20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1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2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opLeftCell="A16" zoomScale="85" zoomScaleNormal="85" workbookViewId="0">
      <selection activeCell="A35" sqref="A35:XFD35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12" t="s">
        <v>38</v>
      </c>
      <c r="C2" s="112"/>
      <c r="D2" s="112"/>
      <c r="E2" s="112"/>
      <c r="F2" s="112"/>
      <c r="G2" s="112"/>
      <c r="H2" s="112"/>
      <c r="I2" s="112"/>
      <c r="J2" s="112"/>
    </row>
    <row r="3" spans="2:10" ht="6.75" customHeight="1" x14ac:dyDescent="0.25">
      <c r="B3" s="113"/>
      <c r="C3" s="114"/>
      <c r="D3" s="114"/>
      <c r="E3" s="114"/>
      <c r="F3" s="114"/>
      <c r="G3" s="114"/>
      <c r="H3" s="114"/>
      <c r="I3" s="114"/>
      <c r="J3" s="115"/>
    </row>
    <row r="4" spans="2:10" x14ac:dyDescent="0.25">
      <c r="B4" s="116"/>
      <c r="C4" s="118"/>
      <c r="D4" s="118"/>
      <c r="E4" s="118"/>
      <c r="F4" s="118"/>
      <c r="G4" s="118"/>
      <c r="H4" s="118"/>
      <c r="I4" s="118"/>
      <c r="J4" s="119"/>
    </row>
    <row r="5" spans="2:10" x14ac:dyDescent="0.25">
      <c r="B5" s="116"/>
      <c r="C5" s="118"/>
      <c r="D5" s="118"/>
      <c r="E5" s="118"/>
      <c r="F5" s="118"/>
      <c r="G5" s="118"/>
      <c r="H5" s="118"/>
      <c r="I5" s="118"/>
      <c r="J5" s="119"/>
    </row>
    <row r="6" spans="2:10" x14ac:dyDescent="0.25">
      <c r="B6" s="116"/>
      <c r="C6" s="118"/>
      <c r="D6" s="118"/>
      <c r="E6" s="118"/>
      <c r="F6" s="118"/>
      <c r="G6" s="118"/>
      <c r="H6" s="118"/>
      <c r="I6" s="118"/>
      <c r="J6" s="119"/>
    </row>
    <row r="7" spans="2:10" x14ac:dyDescent="0.25">
      <c r="B7" s="116"/>
      <c r="C7" s="118"/>
      <c r="D7" s="118"/>
      <c r="E7" s="118"/>
      <c r="F7" s="118"/>
      <c r="G7" s="118"/>
      <c r="H7" s="118"/>
      <c r="I7" s="118"/>
      <c r="J7" s="119"/>
    </row>
    <row r="8" spans="2:10" x14ac:dyDescent="0.25">
      <c r="B8" s="116"/>
      <c r="C8" s="118"/>
      <c r="D8" s="118"/>
      <c r="E8" s="118"/>
      <c r="F8" s="118"/>
      <c r="G8" s="118"/>
      <c r="H8" s="118"/>
      <c r="I8" s="118"/>
      <c r="J8" s="119"/>
    </row>
    <row r="9" spans="2:10" x14ac:dyDescent="0.25">
      <c r="B9" s="116"/>
      <c r="C9" s="118"/>
      <c r="D9" s="118"/>
      <c r="E9" s="118"/>
      <c r="F9" s="118"/>
      <c r="G9" s="118"/>
      <c r="H9" s="118"/>
      <c r="I9" s="118"/>
      <c r="J9" s="119"/>
    </row>
    <row r="10" spans="2:10" x14ac:dyDescent="0.25">
      <c r="B10" s="116"/>
      <c r="C10" s="118"/>
      <c r="D10" s="118"/>
      <c r="E10" s="118"/>
      <c r="F10" s="118"/>
      <c r="G10" s="118"/>
      <c r="H10" s="118"/>
      <c r="I10" s="118"/>
      <c r="J10" s="119"/>
    </row>
    <row r="11" spans="2:10" x14ac:dyDescent="0.25">
      <c r="B11" s="116"/>
      <c r="C11" s="118"/>
      <c r="D11" s="118"/>
      <c r="E11" s="118"/>
      <c r="F11" s="118"/>
      <c r="G11" s="118"/>
      <c r="H11" s="118"/>
      <c r="I11" s="118"/>
      <c r="J11" s="119"/>
    </row>
    <row r="12" spans="2:10" x14ac:dyDescent="0.25">
      <c r="B12" s="116"/>
      <c r="C12" s="118"/>
      <c r="D12" s="118"/>
      <c r="E12" s="118"/>
      <c r="F12" s="118"/>
      <c r="G12" s="118"/>
      <c r="H12" s="118"/>
      <c r="I12" s="118"/>
      <c r="J12" s="119"/>
    </row>
    <row r="13" spans="2:10" x14ac:dyDescent="0.25">
      <c r="B13" s="116"/>
      <c r="C13" s="118"/>
      <c r="D13" s="118"/>
      <c r="E13" s="118"/>
      <c r="F13" s="118"/>
      <c r="G13" s="118"/>
      <c r="H13" s="118"/>
      <c r="I13" s="118"/>
      <c r="J13" s="119"/>
    </row>
    <row r="14" spans="2:10" x14ac:dyDescent="0.25">
      <c r="B14" s="116"/>
      <c r="C14" s="118"/>
      <c r="D14" s="118"/>
      <c r="E14" s="118"/>
      <c r="F14" s="118"/>
      <c r="G14" s="118"/>
      <c r="H14" s="118"/>
      <c r="I14" s="118"/>
      <c r="J14" s="119"/>
    </row>
    <row r="15" spans="2:10" x14ac:dyDescent="0.25">
      <c r="B15" s="116"/>
      <c r="C15" s="118"/>
      <c r="D15" s="118"/>
      <c r="E15" s="118"/>
      <c r="F15" s="118"/>
      <c r="G15" s="118"/>
      <c r="H15" s="118"/>
      <c r="I15" s="118"/>
      <c r="J15" s="119"/>
    </row>
    <row r="16" spans="2:10" x14ac:dyDescent="0.25">
      <c r="B16" s="116"/>
      <c r="C16" s="118"/>
      <c r="D16" s="118"/>
      <c r="E16" s="118"/>
      <c r="F16" s="118"/>
      <c r="G16" s="118"/>
      <c r="H16" s="118"/>
      <c r="I16" s="118"/>
      <c r="J16" s="119"/>
    </row>
    <row r="17" spans="2:10" x14ac:dyDescent="0.25">
      <c r="B17" s="116"/>
      <c r="C17" s="118"/>
      <c r="D17" s="118"/>
      <c r="E17" s="118"/>
      <c r="F17" s="118"/>
      <c r="G17" s="118"/>
      <c r="H17" s="118"/>
      <c r="I17" s="118"/>
      <c r="J17" s="119"/>
    </row>
    <row r="18" spans="2:10" x14ac:dyDescent="0.25">
      <c r="B18" s="116"/>
      <c r="C18" s="118"/>
      <c r="D18" s="118"/>
      <c r="E18" s="118"/>
      <c r="F18" s="118"/>
      <c r="G18" s="118"/>
      <c r="H18" s="118"/>
      <c r="I18" s="118"/>
      <c r="J18" s="119"/>
    </row>
    <row r="19" spans="2:10" x14ac:dyDescent="0.25">
      <c r="B19" s="116"/>
      <c r="C19" s="118"/>
      <c r="D19" s="118"/>
      <c r="E19" s="118"/>
      <c r="F19" s="118"/>
      <c r="G19" s="118"/>
      <c r="H19" s="118"/>
      <c r="I19" s="118"/>
      <c r="J19" s="119"/>
    </row>
    <row r="20" spans="2:10" ht="6.75" customHeight="1" x14ac:dyDescent="0.25">
      <c r="B20" s="117"/>
      <c r="C20" s="121"/>
      <c r="D20" s="121"/>
      <c r="E20" s="121"/>
      <c r="F20" s="121"/>
      <c r="G20" s="121"/>
      <c r="H20" s="121"/>
      <c r="I20" s="121"/>
      <c r="J20" s="120"/>
    </row>
    <row r="21" spans="2:10" x14ac:dyDescent="0.25">
      <c r="B21" s="1"/>
      <c r="C21" s="1"/>
      <c r="D21" s="1"/>
      <c r="E21" s="1"/>
      <c r="F21" s="1"/>
      <c r="G21" s="1"/>
      <c r="H21" s="1"/>
      <c r="I21" s="1"/>
    </row>
    <row r="22" spans="2:10" x14ac:dyDescent="0.25">
      <c r="B22" s="112" t="s">
        <v>39</v>
      </c>
      <c r="C22" s="112"/>
      <c r="D22" s="112"/>
      <c r="E22" s="112"/>
      <c r="F22" s="112"/>
      <c r="G22" s="112"/>
      <c r="H22" s="112"/>
      <c r="I22" s="112"/>
      <c r="J22" s="112"/>
    </row>
    <row r="23" spans="2:10" ht="6.75" customHeight="1" x14ac:dyDescent="0.25">
      <c r="B23" s="113"/>
      <c r="C23" s="114"/>
      <c r="D23" s="114"/>
      <c r="E23" s="114"/>
      <c r="F23" s="114"/>
      <c r="G23" s="114"/>
      <c r="H23" s="114"/>
      <c r="I23" s="114"/>
      <c r="J23" s="115"/>
    </row>
    <row r="24" spans="2:10" x14ac:dyDescent="0.25">
      <c r="B24" s="116"/>
      <c r="C24" s="118"/>
      <c r="D24" s="118"/>
      <c r="E24" s="118"/>
      <c r="F24" s="118"/>
      <c r="G24" s="118"/>
      <c r="H24" s="118"/>
      <c r="I24" s="118"/>
      <c r="J24" s="119"/>
    </row>
    <row r="25" spans="2:10" x14ac:dyDescent="0.25">
      <c r="B25" s="116"/>
      <c r="C25" s="118"/>
      <c r="D25" s="118"/>
      <c r="E25" s="118"/>
      <c r="F25" s="118"/>
      <c r="G25" s="118"/>
      <c r="H25" s="118"/>
      <c r="I25" s="118"/>
      <c r="J25" s="119"/>
    </row>
    <row r="26" spans="2:10" x14ac:dyDescent="0.25">
      <c r="B26" s="116"/>
      <c r="C26" s="118"/>
      <c r="D26" s="118"/>
      <c r="E26" s="118"/>
      <c r="F26" s="118"/>
      <c r="G26" s="118"/>
      <c r="H26" s="118"/>
      <c r="I26" s="118"/>
      <c r="J26" s="119"/>
    </row>
    <row r="27" spans="2:10" x14ac:dyDescent="0.25">
      <c r="B27" s="116"/>
      <c r="C27" s="118"/>
      <c r="D27" s="118"/>
      <c r="E27" s="118"/>
      <c r="F27" s="118"/>
      <c r="G27" s="118"/>
      <c r="H27" s="118"/>
      <c r="I27" s="118"/>
      <c r="J27" s="119"/>
    </row>
    <row r="28" spans="2:10" x14ac:dyDescent="0.25">
      <c r="B28" s="116"/>
      <c r="C28" s="118"/>
      <c r="D28" s="118"/>
      <c r="E28" s="118"/>
      <c r="F28" s="118"/>
      <c r="G28" s="118"/>
      <c r="H28" s="118"/>
      <c r="I28" s="118"/>
      <c r="J28" s="119"/>
    </row>
    <row r="29" spans="2:10" x14ac:dyDescent="0.25">
      <c r="B29" s="116"/>
      <c r="C29" s="118"/>
      <c r="D29" s="118"/>
      <c r="E29" s="118"/>
      <c r="F29" s="118"/>
      <c r="G29" s="118"/>
      <c r="H29" s="118"/>
      <c r="I29" s="118"/>
      <c r="J29" s="119"/>
    </row>
    <row r="30" spans="2:10" x14ac:dyDescent="0.25">
      <c r="B30" s="116"/>
      <c r="C30" s="118"/>
      <c r="D30" s="118"/>
      <c r="E30" s="118"/>
      <c r="F30" s="118"/>
      <c r="G30" s="118"/>
      <c r="H30" s="118"/>
      <c r="I30" s="118"/>
      <c r="J30" s="119"/>
    </row>
    <row r="31" spans="2:10" x14ac:dyDescent="0.25">
      <c r="B31" s="116"/>
      <c r="C31" s="118"/>
      <c r="D31" s="118"/>
      <c r="E31" s="118"/>
      <c r="F31" s="118"/>
      <c r="G31" s="118"/>
      <c r="H31" s="118"/>
      <c r="I31" s="118"/>
      <c r="J31" s="119"/>
    </row>
    <row r="32" spans="2:10" x14ac:dyDescent="0.25">
      <c r="B32" s="116"/>
      <c r="C32" s="118"/>
      <c r="D32" s="118"/>
      <c r="E32" s="118"/>
      <c r="F32" s="118"/>
      <c r="G32" s="118"/>
      <c r="H32" s="118"/>
      <c r="I32" s="118"/>
      <c r="J32" s="119"/>
    </row>
    <row r="33" spans="2:10" x14ac:dyDescent="0.25">
      <c r="B33" s="116"/>
      <c r="C33" s="118"/>
      <c r="D33" s="118"/>
      <c r="E33" s="118"/>
      <c r="F33" s="118"/>
      <c r="G33" s="118"/>
      <c r="H33" s="118"/>
      <c r="I33" s="118"/>
      <c r="J33" s="119"/>
    </row>
    <row r="34" spans="2:10" x14ac:dyDescent="0.25">
      <c r="B34" s="116"/>
      <c r="C34" s="118"/>
      <c r="D34" s="118"/>
      <c r="E34" s="118"/>
      <c r="F34" s="118"/>
      <c r="G34" s="118"/>
      <c r="H34" s="118"/>
      <c r="I34" s="118"/>
      <c r="J34" s="119"/>
    </row>
    <row r="35" spans="2:10" ht="6.75" customHeight="1" x14ac:dyDescent="0.25">
      <c r="B35" s="117"/>
      <c r="C35" s="121"/>
      <c r="D35" s="121"/>
      <c r="E35" s="121"/>
      <c r="F35" s="121"/>
      <c r="G35" s="121"/>
      <c r="H35" s="121"/>
      <c r="I35" s="121"/>
      <c r="J35" s="120"/>
    </row>
  </sheetData>
  <mergeCells count="12">
    <mergeCell ref="B2:J2"/>
    <mergeCell ref="C4:I19"/>
    <mergeCell ref="B3:J3"/>
    <mergeCell ref="B4:B20"/>
    <mergeCell ref="J4:J20"/>
    <mergeCell ref="C20:I20"/>
    <mergeCell ref="B22:J22"/>
    <mergeCell ref="B23:J23"/>
    <mergeCell ref="B24:B35"/>
    <mergeCell ref="C24:I34"/>
    <mergeCell ref="J24:J35"/>
    <mergeCell ref="C35:I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tabSelected="1" view="pageBreakPreview" zoomScaleSheetLayoutView="100" zoomScalePageLayoutView="110" workbookViewId="0">
      <selection activeCell="D19" sqref="D19:D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51"/>
      <c r="B2" s="352"/>
      <c r="C2" s="353"/>
      <c r="D2" s="354"/>
      <c r="E2" s="355" t="s">
        <v>123</v>
      </c>
      <c r="F2" s="356"/>
      <c r="G2" s="356"/>
      <c r="H2" s="356"/>
      <c r="I2" s="356"/>
      <c r="J2" s="356"/>
      <c r="K2" s="356"/>
      <c r="L2" s="356"/>
      <c r="M2" s="356"/>
      <c r="N2" s="356"/>
      <c r="O2" s="357"/>
      <c r="P2" s="358"/>
    </row>
    <row r="3" spans="1:26" s="2" customFormat="1" ht="25.5" customHeight="1" thickBot="1" x14ac:dyDescent="0.3">
      <c r="A3" s="351"/>
      <c r="B3" s="359"/>
      <c r="C3" s="360"/>
      <c r="D3" s="361"/>
      <c r="E3" s="362"/>
      <c r="F3" s="363"/>
      <c r="G3" s="363"/>
      <c r="H3" s="363"/>
      <c r="I3" s="363"/>
      <c r="J3" s="363"/>
      <c r="K3" s="363"/>
      <c r="L3" s="363"/>
      <c r="M3" s="363"/>
      <c r="N3" s="363"/>
      <c r="O3" s="364"/>
      <c r="P3" s="365"/>
    </row>
    <row r="4" spans="1:26" s="94" customFormat="1" ht="11.25" customHeight="1" thickBot="1" x14ac:dyDescent="0.3">
      <c r="A4" s="15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10">
        <v>43048</v>
      </c>
      <c r="D5" s="311"/>
      <c r="E5" s="70" t="s">
        <v>50</v>
      </c>
      <c r="F5" s="71">
        <v>1</v>
      </c>
      <c r="G5" s="72" t="s">
        <v>1</v>
      </c>
      <c r="H5" s="312" t="s">
        <v>124</v>
      </c>
      <c r="I5" s="313"/>
      <c r="J5" s="313"/>
      <c r="K5" s="313"/>
      <c r="L5" s="313"/>
      <c r="M5" s="313"/>
      <c r="N5" s="313"/>
      <c r="O5" s="313"/>
      <c r="P5" s="31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93" t="s">
        <v>2</v>
      </c>
      <c r="C6" s="294"/>
      <c r="D6" s="295" t="s">
        <v>108</v>
      </c>
      <c r="E6" s="296"/>
      <c r="F6" s="296"/>
      <c r="G6" s="296"/>
      <c r="H6" s="296"/>
      <c r="I6" s="297"/>
      <c r="J6" s="74" t="s">
        <v>3</v>
      </c>
      <c r="K6" s="298" t="s">
        <v>109</v>
      </c>
      <c r="L6" s="297"/>
      <c r="M6" s="298" t="s">
        <v>110</v>
      </c>
      <c r="N6" s="299"/>
      <c r="O6" s="75" t="s">
        <v>51</v>
      </c>
      <c r="P6" s="76">
        <v>1833</v>
      </c>
    </row>
    <row r="7" spans="1:26" s="18" customFormat="1" ht="21.75" customHeight="1" x14ac:dyDescent="0.25">
      <c r="B7" s="300" t="s">
        <v>52</v>
      </c>
      <c r="C7" s="301" t="s">
        <v>53</v>
      </c>
      <c r="D7" s="271"/>
      <c r="E7" s="78"/>
      <c r="F7" s="302" t="s">
        <v>54</v>
      </c>
      <c r="G7" s="303"/>
      <c r="H7" s="303"/>
      <c r="I7" s="303"/>
      <c r="J7" s="304" t="s">
        <v>55</v>
      </c>
      <c r="K7" s="305"/>
      <c r="L7" s="305"/>
      <c r="M7" s="306"/>
      <c r="N7" s="307" t="s">
        <v>102</v>
      </c>
      <c r="O7" s="308"/>
      <c r="P7" s="79" t="s">
        <v>56</v>
      </c>
    </row>
    <row r="8" spans="1:26" s="18" customFormat="1" ht="21.75" customHeight="1" thickBot="1" x14ac:dyDescent="0.3">
      <c r="B8" s="245"/>
      <c r="C8" s="262" t="s">
        <v>57</v>
      </c>
      <c r="D8" s="261"/>
      <c r="E8" s="80" t="s">
        <v>4</v>
      </c>
      <c r="F8" s="272" t="s">
        <v>5</v>
      </c>
      <c r="G8" s="273"/>
      <c r="H8" s="273"/>
      <c r="I8" s="273"/>
      <c r="J8" s="274"/>
      <c r="K8" s="275"/>
      <c r="L8" s="275"/>
      <c r="M8" s="276"/>
      <c r="N8" s="277"/>
      <c r="O8" s="278"/>
      <c r="P8" s="81"/>
    </row>
    <row r="9" spans="1:26" s="18" customFormat="1" ht="21.75" customHeight="1" x14ac:dyDescent="0.25">
      <c r="B9" s="279" t="s">
        <v>6</v>
      </c>
      <c r="C9" s="282" t="s">
        <v>58</v>
      </c>
      <c r="D9" s="283" t="s">
        <v>59</v>
      </c>
      <c r="E9" s="268"/>
      <c r="F9" s="82"/>
      <c r="G9" s="284" t="s">
        <v>7</v>
      </c>
      <c r="H9" s="285" t="s">
        <v>8</v>
      </c>
      <c r="I9" s="271"/>
      <c r="J9" s="83"/>
      <c r="K9" s="282" t="s">
        <v>60</v>
      </c>
      <c r="L9" s="286" t="s">
        <v>106</v>
      </c>
      <c r="M9" s="287"/>
      <c r="N9" s="288"/>
      <c r="O9" s="288"/>
      <c r="P9" s="289"/>
    </row>
    <row r="10" spans="1:26" s="18" customFormat="1" ht="21.75" customHeight="1" thickBot="1" x14ac:dyDescent="0.3">
      <c r="B10" s="280"/>
      <c r="C10" s="225"/>
      <c r="D10" s="266" t="s">
        <v>61</v>
      </c>
      <c r="E10" s="261"/>
      <c r="F10" s="84" t="s">
        <v>4</v>
      </c>
      <c r="G10" s="225"/>
      <c r="H10" s="266" t="s">
        <v>9</v>
      </c>
      <c r="I10" s="261"/>
      <c r="J10" s="85" t="s">
        <v>4</v>
      </c>
      <c r="K10" s="225"/>
      <c r="L10" s="290"/>
      <c r="M10" s="291"/>
      <c r="N10" s="291"/>
      <c r="O10" s="291"/>
      <c r="P10" s="292"/>
    </row>
    <row r="11" spans="1:26" s="18" customFormat="1" ht="21.75" customHeight="1" x14ac:dyDescent="0.25">
      <c r="A11" s="16"/>
      <c r="B11" s="280"/>
      <c r="C11" s="267" t="s">
        <v>10</v>
      </c>
      <c r="D11" s="268"/>
      <c r="E11" s="86">
        <v>0.3923611111111111</v>
      </c>
      <c r="F11" s="269" t="s">
        <v>11</v>
      </c>
      <c r="G11" s="268"/>
      <c r="H11" s="87">
        <v>1.08</v>
      </c>
      <c r="I11" s="270" t="s">
        <v>12</v>
      </c>
      <c r="J11" s="271"/>
      <c r="K11" s="87">
        <v>15</v>
      </c>
      <c r="L11" s="267" t="s">
        <v>13</v>
      </c>
      <c r="M11" s="268"/>
      <c r="N11" s="88">
        <v>8</v>
      </c>
      <c r="O11" s="258" t="s">
        <v>62</v>
      </c>
      <c r="P11" s="259"/>
    </row>
    <row r="12" spans="1:26" s="18" customFormat="1" ht="21.75" customHeight="1" thickBot="1" x14ac:dyDescent="0.3">
      <c r="A12" s="16"/>
      <c r="B12" s="281"/>
      <c r="C12" s="260" t="s">
        <v>14</v>
      </c>
      <c r="D12" s="261"/>
      <c r="E12" s="86">
        <v>0.48958333333333331</v>
      </c>
      <c r="F12" s="262" t="s">
        <v>15</v>
      </c>
      <c r="G12" s="261"/>
      <c r="H12" s="87">
        <v>1.08</v>
      </c>
      <c r="I12" s="263" t="s">
        <v>16</v>
      </c>
      <c r="J12" s="261"/>
      <c r="K12" s="86">
        <v>0.40416666666666662</v>
      </c>
      <c r="L12" s="260" t="s">
        <v>17</v>
      </c>
      <c r="M12" s="261"/>
      <c r="N12" s="89">
        <v>0.8</v>
      </c>
      <c r="O12" s="264">
        <v>2.9</v>
      </c>
      <c r="P12" s="265"/>
    </row>
    <row r="13" spans="1:26" s="18" customFormat="1" ht="21.75" customHeight="1" x14ac:dyDescent="0.25">
      <c r="A13" s="16"/>
      <c r="B13" s="243" t="s">
        <v>18</v>
      </c>
      <c r="C13" s="246" t="s">
        <v>63</v>
      </c>
      <c r="D13" s="247"/>
      <c r="E13" s="247"/>
      <c r="F13" s="248" t="s">
        <v>64</v>
      </c>
      <c r="G13" s="247"/>
      <c r="H13" s="247"/>
      <c r="I13" s="247"/>
      <c r="J13" s="248" t="s">
        <v>65</v>
      </c>
      <c r="K13" s="247"/>
      <c r="L13" s="247"/>
      <c r="M13" s="247"/>
      <c r="N13" s="249" t="s">
        <v>66</v>
      </c>
      <c r="O13" s="247"/>
      <c r="P13" s="250"/>
      <c r="Q13" s="95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44"/>
      <c r="C14" s="251" t="s">
        <v>67</v>
      </c>
      <c r="D14" s="252"/>
      <c r="E14" s="252"/>
      <c r="F14" s="253" t="s">
        <v>68</v>
      </c>
      <c r="G14" s="252"/>
      <c r="H14" s="252"/>
      <c r="I14" s="252"/>
      <c r="J14" s="254" t="s">
        <v>69</v>
      </c>
      <c r="K14" s="252"/>
      <c r="L14" s="252"/>
      <c r="M14" s="252"/>
      <c r="N14" s="255"/>
      <c r="O14" s="240"/>
      <c r="P14" s="25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5"/>
      <c r="C15" s="257" t="s">
        <v>70</v>
      </c>
      <c r="D15" s="227"/>
      <c r="E15" s="227"/>
      <c r="F15" s="227" t="s">
        <v>71</v>
      </c>
      <c r="G15" s="228"/>
      <c r="H15" s="228"/>
      <c r="I15" s="228"/>
      <c r="J15" s="227" t="s">
        <v>72</v>
      </c>
      <c r="K15" s="228"/>
      <c r="L15" s="228"/>
      <c r="M15" s="228"/>
      <c r="N15" s="229"/>
      <c r="O15" s="230"/>
      <c r="P15" s="23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32" t="s">
        <v>19</v>
      </c>
      <c r="C16" s="234" t="s">
        <v>20</v>
      </c>
      <c r="D16" s="234" t="s">
        <v>40</v>
      </c>
      <c r="E16" s="236" t="s">
        <v>21</v>
      </c>
      <c r="F16" s="237" t="s">
        <v>41</v>
      </c>
      <c r="G16" s="238"/>
      <c r="H16" s="234" t="s">
        <v>73</v>
      </c>
      <c r="I16" s="24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33"/>
      <c r="C17" s="235"/>
      <c r="D17" s="235"/>
      <c r="E17" s="235"/>
      <c r="F17" s="239"/>
      <c r="G17" s="240"/>
      <c r="H17" s="235"/>
      <c r="I17" s="24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O12</f>
        <v>2.9</v>
      </c>
      <c r="D18" s="29">
        <v>0.66200000000000003</v>
      </c>
      <c r="E18" s="30"/>
      <c r="F18" s="31"/>
      <c r="G18" s="92"/>
      <c r="H18" s="32"/>
      <c r="I18" s="33"/>
      <c r="J18" s="91">
        <v>0.14399999999999999</v>
      </c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23">
        <v>1</v>
      </c>
      <c r="C19" s="226">
        <f>+C18+N12</f>
        <v>3.7</v>
      </c>
      <c r="D19" s="203">
        <v>0.70499999999999996</v>
      </c>
      <c r="E19" s="203">
        <v>0.63100000000000001</v>
      </c>
      <c r="F19" s="36" t="s">
        <v>75</v>
      </c>
      <c r="G19" s="37">
        <v>0</v>
      </c>
      <c r="H19" s="38"/>
      <c r="I19" s="39"/>
      <c r="J19" s="40">
        <v>0.14799999999999999</v>
      </c>
      <c r="K19" s="203">
        <f>+IF(E19&lt;=0.12,(J21),(IF(E19&lt;0.16,((J20+2*J21+J22)/4),IF(E19&gt;=0.16,((J19+3*J20+2*J21+3*J22+J23)/10)))))</f>
        <v>0.36510000000000004</v>
      </c>
      <c r="L19" s="203">
        <f>ROUND(+(D18+D19)/2*(C19-C18),3)</f>
        <v>0.54700000000000004</v>
      </c>
      <c r="M19" s="203">
        <f>ROUND(+K19*L19,4)</f>
        <v>0.19969999999999999</v>
      </c>
      <c r="N19" s="206">
        <f>ROUND(+M19/$M$88*100,2)</f>
        <v>8.6</v>
      </c>
      <c r="O19" s="207"/>
      <c r="P19" s="20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24"/>
      <c r="C20" s="204"/>
      <c r="D20" s="204"/>
      <c r="E20" s="204"/>
      <c r="F20" s="41" t="s">
        <v>76</v>
      </c>
      <c r="G20" s="42">
        <f>IF(E19&lt;0.125,"NA",IF(0.125&lt;=E19,(0.2*E19)))</f>
        <v>0.12620000000000001</v>
      </c>
      <c r="H20" s="43"/>
      <c r="I20" s="44"/>
      <c r="J20" s="45">
        <v>0.185</v>
      </c>
      <c r="K20" s="204"/>
      <c r="L20" s="204"/>
      <c r="M20" s="204"/>
      <c r="N20" s="204"/>
      <c r="O20" s="204"/>
      <c r="P20" s="20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24"/>
      <c r="C21" s="204"/>
      <c r="D21" s="204"/>
      <c r="E21" s="204"/>
      <c r="F21" s="41" t="s">
        <v>77</v>
      </c>
      <c r="G21" s="42">
        <f>+E19*0.4</f>
        <v>0.25240000000000001</v>
      </c>
      <c r="H21" s="43"/>
      <c r="I21" s="44"/>
      <c r="J21" s="45">
        <v>0.41599999999999998</v>
      </c>
      <c r="K21" s="204"/>
      <c r="L21" s="204"/>
      <c r="M21" s="204"/>
      <c r="N21" s="204"/>
      <c r="O21" s="204"/>
      <c r="P21" s="20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24"/>
      <c r="C22" s="204"/>
      <c r="D22" s="204"/>
      <c r="E22" s="204"/>
      <c r="F22" s="41" t="s">
        <v>78</v>
      </c>
      <c r="G22" s="42">
        <f>IF(E19&lt;0.125,"NA",IF(0.125&lt;=E19,(0.8*E19)))</f>
        <v>0.50480000000000003</v>
      </c>
      <c r="H22" s="43"/>
      <c r="I22" s="44"/>
      <c r="J22" s="45">
        <v>0.54700000000000004</v>
      </c>
      <c r="K22" s="204"/>
      <c r="L22" s="204"/>
      <c r="M22" s="204"/>
      <c r="N22" s="204"/>
      <c r="O22" s="204"/>
      <c r="P22" s="20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5"/>
      <c r="C23" s="205"/>
      <c r="D23" s="205"/>
      <c r="E23" s="205"/>
      <c r="F23" s="46" t="s">
        <v>79</v>
      </c>
      <c r="G23" s="47">
        <f>+E19</f>
        <v>0.63100000000000001</v>
      </c>
      <c r="H23" s="48"/>
      <c r="I23" s="49"/>
      <c r="J23" s="50">
        <v>0.47499999999999998</v>
      </c>
      <c r="K23" s="205"/>
      <c r="L23" s="205"/>
      <c r="M23" s="205"/>
      <c r="N23" s="205"/>
      <c r="O23" s="205"/>
      <c r="P23" s="21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23">
        <v>2</v>
      </c>
      <c r="C24" s="226">
        <f>+C19+$N$12</f>
        <v>4.5</v>
      </c>
      <c r="D24" s="203">
        <v>0.69</v>
      </c>
      <c r="E24" s="203">
        <v>0.68600000000000005</v>
      </c>
      <c r="F24" s="36" t="s">
        <v>75</v>
      </c>
      <c r="G24" s="37">
        <v>0</v>
      </c>
      <c r="H24" s="38"/>
      <c r="I24" s="39"/>
      <c r="J24" s="40"/>
      <c r="K24" s="203"/>
      <c r="L24" s="203"/>
      <c r="M24" s="203"/>
      <c r="N24" s="206"/>
      <c r="O24" s="207"/>
      <c r="P24" s="20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24"/>
      <c r="C25" s="204"/>
      <c r="D25" s="204"/>
      <c r="E25" s="204"/>
      <c r="F25" s="41" t="s">
        <v>76</v>
      </c>
      <c r="G25" s="42">
        <f>IF(E24&lt;0.125,"NA",IF(0.125&lt;=E24,(0.2*E24)))</f>
        <v>0.13720000000000002</v>
      </c>
      <c r="H25" s="43"/>
      <c r="I25" s="44"/>
      <c r="J25" s="45"/>
      <c r="K25" s="204"/>
      <c r="L25" s="204"/>
      <c r="M25" s="204"/>
      <c r="N25" s="204"/>
      <c r="O25" s="204"/>
      <c r="P25" s="20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24"/>
      <c r="C26" s="204"/>
      <c r="D26" s="204"/>
      <c r="E26" s="204"/>
      <c r="F26" s="41" t="s">
        <v>77</v>
      </c>
      <c r="G26" s="42">
        <f>+E24*0.4</f>
        <v>0.27440000000000003</v>
      </c>
      <c r="H26" s="43"/>
      <c r="I26" s="44"/>
      <c r="J26" s="45"/>
      <c r="K26" s="204"/>
      <c r="L26" s="204"/>
      <c r="M26" s="204"/>
      <c r="N26" s="204"/>
      <c r="O26" s="204"/>
      <c r="P26" s="20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24"/>
      <c r="C27" s="204"/>
      <c r="D27" s="204"/>
      <c r="E27" s="204"/>
      <c r="F27" s="41" t="s">
        <v>78</v>
      </c>
      <c r="G27" s="42">
        <f>IF(E24&lt;0.125,"NA",IF(0.125&lt;=E24,(0.8*E24)))</f>
        <v>0.54880000000000007</v>
      </c>
      <c r="H27" s="43"/>
      <c r="I27" s="44"/>
      <c r="J27" s="45"/>
      <c r="K27" s="204"/>
      <c r="L27" s="204"/>
      <c r="M27" s="204"/>
      <c r="N27" s="204"/>
      <c r="O27" s="204"/>
      <c r="P27" s="20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5"/>
      <c r="C28" s="205"/>
      <c r="D28" s="205"/>
      <c r="E28" s="205"/>
      <c r="F28" s="46" t="s">
        <v>79</v>
      </c>
      <c r="G28" s="47">
        <f>+E24</f>
        <v>0.68600000000000005</v>
      </c>
      <c r="H28" s="48"/>
      <c r="I28" s="49"/>
      <c r="J28" s="50"/>
      <c r="K28" s="205"/>
      <c r="L28" s="205"/>
      <c r="M28" s="205"/>
      <c r="N28" s="205"/>
      <c r="O28" s="205"/>
      <c r="P28" s="21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23">
        <v>3</v>
      </c>
      <c r="C29" s="226">
        <f>+C24+$N$12</f>
        <v>5.3</v>
      </c>
      <c r="D29" s="203">
        <v>0.36199999999999999</v>
      </c>
      <c r="E29" s="203">
        <v>0.55900000000000005</v>
      </c>
      <c r="F29" s="36" t="s">
        <v>75</v>
      </c>
      <c r="G29" s="37">
        <v>0</v>
      </c>
      <c r="H29" s="38"/>
      <c r="I29" s="39"/>
      <c r="J29" s="40">
        <v>0.80100000000000005</v>
      </c>
      <c r="K29" s="203">
        <f>+IF(E29&lt;=0.12,(J31),(IF(E29&lt;0.16,((J30+2*J31+J32)/4),IF(E29&gt;=0.16,((J29+3*J30+2*J31+3*J32+J33)/10)))))</f>
        <v>0.85330000000000017</v>
      </c>
      <c r="L29" s="203">
        <f>ROUND(+(D24+D29)/2*(C29-C24),3)</f>
        <v>0.42099999999999999</v>
      </c>
      <c r="M29" s="203">
        <f>ROUND(+K29*L29,4)</f>
        <v>0.35920000000000002</v>
      </c>
      <c r="N29" s="206">
        <f>ROUND(+M29/$M$88*100,2)</f>
        <v>15.48</v>
      </c>
      <c r="O29" s="207"/>
      <c r="P29" s="20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24"/>
      <c r="C30" s="204"/>
      <c r="D30" s="204"/>
      <c r="E30" s="204"/>
      <c r="F30" s="41" t="s">
        <v>76</v>
      </c>
      <c r="G30" s="42">
        <f>IF(E29&lt;0.125,"NA",IF(0.125&lt;=E29,(0.2*E29)))</f>
        <v>0.11180000000000001</v>
      </c>
      <c r="H30" s="43"/>
      <c r="I30" s="44"/>
      <c r="J30" s="45">
        <v>0.79400000000000004</v>
      </c>
      <c r="K30" s="204"/>
      <c r="L30" s="204"/>
      <c r="M30" s="204"/>
      <c r="N30" s="204"/>
      <c r="O30" s="204"/>
      <c r="P30" s="209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24"/>
      <c r="C31" s="204"/>
      <c r="D31" s="204"/>
      <c r="E31" s="204"/>
      <c r="F31" s="41" t="s">
        <v>77</v>
      </c>
      <c r="G31" s="42">
        <f>+E29*0.4</f>
        <v>0.22360000000000002</v>
      </c>
      <c r="H31" s="43"/>
      <c r="I31" s="44"/>
      <c r="J31" s="45">
        <v>0.91200000000000003</v>
      </c>
      <c r="K31" s="204"/>
      <c r="L31" s="204"/>
      <c r="M31" s="204"/>
      <c r="N31" s="204"/>
      <c r="O31" s="204"/>
      <c r="P31" s="209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24"/>
      <c r="C32" s="204"/>
      <c r="D32" s="204"/>
      <c r="E32" s="204"/>
      <c r="F32" s="41" t="s">
        <v>78</v>
      </c>
      <c r="G32" s="42">
        <f>IF(E29&lt;0.125,"NA",IF(0.125&lt;=E29,(0.8*E29)))</f>
        <v>0.44720000000000004</v>
      </c>
      <c r="H32" s="43"/>
      <c r="I32" s="44"/>
      <c r="J32" s="45">
        <v>0.88300000000000001</v>
      </c>
      <c r="K32" s="204"/>
      <c r="L32" s="204"/>
      <c r="M32" s="204"/>
      <c r="N32" s="204"/>
      <c r="O32" s="204"/>
      <c r="P32" s="209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5"/>
      <c r="C33" s="205"/>
      <c r="D33" s="205"/>
      <c r="E33" s="205"/>
      <c r="F33" s="46" t="s">
        <v>79</v>
      </c>
      <c r="G33" s="47">
        <f>+E29</f>
        <v>0.55900000000000005</v>
      </c>
      <c r="H33" s="48"/>
      <c r="I33" s="49"/>
      <c r="J33" s="50">
        <v>0.877</v>
      </c>
      <c r="K33" s="205"/>
      <c r="L33" s="205"/>
      <c r="M33" s="205"/>
      <c r="N33" s="205"/>
      <c r="O33" s="205"/>
      <c r="P33" s="210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23">
        <v>4</v>
      </c>
      <c r="C34" s="226">
        <f>+C29+$N$12</f>
        <v>6.1</v>
      </c>
      <c r="D34" s="203">
        <v>0.65200000000000002</v>
      </c>
      <c r="E34" s="203">
        <v>0.442</v>
      </c>
      <c r="F34" s="36" t="s">
        <v>75</v>
      </c>
      <c r="G34" s="37">
        <v>0</v>
      </c>
      <c r="H34" s="38"/>
      <c r="I34" s="39"/>
      <c r="J34" s="40">
        <v>0.52200000000000002</v>
      </c>
      <c r="K34" s="203">
        <f>+IF(E34&lt;=0.12,(J36),(IF(E34&lt;0.16,((J35+2*J36+J37)/4),IF(E34&gt;=0.16,((J34+3*J35+2*J36+3*J37+J38)/10)))))</f>
        <v>0.83089999999999997</v>
      </c>
      <c r="L34" s="203">
        <f>ROUND(+(D29+D34)/2*(C34-C29),3)</f>
        <v>0.40600000000000003</v>
      </c>
      <c r="M34" s="203">
        <f>ROUND(+K34*L34,4)</f>
        <v>0.33729999999999999</v>
      </c>
      <c r="N34" s="206">
        <f>ROUND(+M34/$M$88*100,2)</f>
        <v>14.53</v>
      </c>
      <c r="O34" s="207"/>
      <c r="P34" s="20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24"/>
      <c r="C35" s="204"/>
      <c r="D35" s="204"/>
      <c r="E35" s="204"/>
      <c r="F35" s="41" t="s">
        <v>76</v>
      </c>
      <c r="G35" s="42">
        <f>IF(E34&lt;0.125,"NA",IF(0.125&lt;=E34,(0.2*E34)))</f>
        <v>8.8400000000000006E-2</v>
      </c>
      <c r="H35" s="43"/>
      <c r="I35" s="44"/>
      <c r="J35" s="45">
        <v>0.85599999999999998</v>
      </c>
      <c r="K35" s="204"/>
      <c r="L35" s="204"/>
      <c r="M35" s="204"/>
      <c r="N35" s="204"/>
      <c r="O35" s="204"/>
      <c r="P35" s="20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24"/>
      <c r="C36" s="204"/>
      <c r="D36" s="204"/>
      <c r="E36" s="204"/>
      <c r="F36" s="41" t="s">
        <v>77</v>
      </c>
      <c r="G36" s="42">
        <f>+E34*0.4</f>
        <v>0.17680000000000001</v>
      </c>
      <c r="H36" s="43"/>
      <c r="I36" s="44"/>
      <c r="J36" s="45">
        <v>0.85499999999999998</v>
      </c>
      <c r="K36" s="204"/>
      <c r="L36" s="204"/>
      <c r="M36" s="204"/>
      <c r="N36" s="204"/>
      <c r="O36" s="204"/>
      <c r="P36" s="209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24"/>
      <c r="C37" s="204"/>
      <c r="D37" s="204"/>
      <c r="E37" s="204"/>
      <c r="F37" s="41" t="s">
        <v>78</v>
      </c>
      <c r="G37" s="42">
        <f>IF(E34&lt;0.125,"NA",IF(0.125&lt;=E34,(0.8*E34)))</f>
        <v>0.35360000000000003</v>
      </c>
      <c r="H37" s="43"/>
      <c r="I37" s="44"/>
      <c r="J37" s="45">
        <v>0.88300000000000001</v>
      </c>
      <c r="K37" s="204"/>
      <c r="L37" s="204"/>
      <c r="M37" s="204"/>
      <c r="N37" s="204"/>
      <c r="O37" s="204"/>
      <c r="P37" s="20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5"/>
      <c r="C38" s="205"/>
      <c r="D38" s="205"/>
      <c r="E38" s="205"/>
      <c r="F38" s="46" t="s">
        <v>79</v>
      </c>
      <c r="G38" s="47">
        <f>+E34</f>
        <v>0.442</v>
      </c>
      <c r="H38" s="48"/>
      <c r="I38" s="49"/>
      <c r="J38" s="50">
        <v>0.86</v>
      </c>
      <c r="K38" s="205"/>
      <c r="L38" s="205"/>
      <c r="M38" s="205"/>
      <c r="N38" s="205"/>
      <c r="O38" s="205"/>
      <c r="P38" s="210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23">
        <v>5</v>
      </c>
      <c r="C39" s="226">
        <f>+C34+$N$12</f>
        <v>6.8999999999999995</v>
      </c>
      <c r="D39" s="203">
        <v>0.53500000000000003</v>
      </c>
      <c r="E39" s="203">
        <v>0.38600000000000001</v>
      </c>
      <c r="F39" s="36" t="s">
        <v>75</v>
      </c>
      <c r="G39" s="37">
        <v>0</v>
      </c>
      <c r="H39" s="38"/>
      <c r="I39" s="39"/>
      <c r="J39" s="40">
        <v>0.40699999999999997</v>
      </c>
      <c r="K39" s="203">
        <f>+IF(E39&lt;=0.12,(J41),(IF(E39&lt;0.16,((J40+2*J41+J42)/4),IF(E39&gt;=0.16,((J39+3*J40+2*J41+3*J42+J43)/10)))))</f>
        <v>0.69290000000000007</v>
      </c>
      <c r="L39" s="203">
        <f>ROUND(+(D34+D39)/2*(C39-C34),3)</f>
        <v>0.47499999999999998</v>
      </c>
      <c r="M39" s="203">
        <f>ROUND(+K39*L39,4)</f>
        <v>0.3291</v>
      </c>
      <c r="N39" s="206">
        <f>ROUND(+M39/$M$88*100,2)</f>
        <v>14.18</v>
      </c>
      <c r="O39" s="207"/>
      <c r="P39" s="20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24"/>
      <c r="C40" s="204"/>
      <c r="D40" s="204"/>
      <c r="E40" s="204"/>
      <c r="F40" s="41" t="s">
        <v>76</v>
      </c>
      <c r="G40" s="42">
        <f>IF(E39&lt;0.125,"NA",IF(0.125&lt;=E39,(0.2*E39)))</f>
        <v>7.7200000000000005E-2</v>
      </c>
      <c r="H40" s="43"/>
      <c r="I40" s="44"/>
      <c r="J40" s="45">
        <v>0.67700000000000005</v>
      </c>
      <c r="K40" s="204"/>
      <c r="L40" s="204"/>
      <c r="M40" s="204"/>
      <c r="N40" s="204"/>
      <c r="O40" s="204"/>
      <c r="P40" s="209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24"/>
      <c r="C41" s="204"/>
      <c r="D41" s="204"/>
      <c r="E41" s="204"/>
      <c r="F41" s="41" t="s">
        <v>77</v>
      </c>
      <c r="G41" s="42">
        <f>+E39*0.4</f>
        <v>0.15440000000000001</v>
      </c>
      <c r="H41" s="43"/>
      <c r="I41" s="44"/>
      <c r="J41" s="45">
        <v>0.79500000000000004</v>
      </c>
      <c r="K41" s="204"/>
      <c r="L41" s="204"/>
      <c r="M41" s="204"/>
      <c r="N41" s="204"/>
      <c r="O41" s="204"/>
      <c r="P41" s="209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24"/>
      <c r="C42" s="204"/>
      <c r="D42" s="204"/>
      <c r="E42" s="204"/>
      <c r="F42" s="41" t="s">
        <v>78</v>
      </c>
      <c r="G42" s="42">
        <f>IF(E39&lt;0.125,"NA",IF(0.125&lt;=E39,(0.8*E39)))</f>
        <v>0.30880000000000002</v>
      </c>
      <c r="H42" s="43"/>
      <c r="I42" s="44"/>
      <c r="J42" s="45">
        <v>0.753</v>
      </c>
      <c r="K42" s="204"/>
      <c r="L42" s="204"/>
      <c r="M42" s="204"/>
      <c r="N42" s="204"/>
      <c r="O42" s="204"/>
      <c r="P42" s="209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5"/>
      <c r="C43" s="205"/>
      <c r="D43" s="205"/>
      <c r="E43" s="205"/>
      <c r="F43" s="46" t="s">
        <v>79</v>
      </c>
      <c r="G43" s="47">
        <f>+E39</f>
        <v>0.38600000000000001</v>
      </c>
      <c r="H43" s="48"/>
      <c r="I43" s="49"/>
      <c r="J43" s="50">
        <v>0.64200000000000002</v>
      </c>
      <c r="K43" s="205"/>
      <c r="L43" s="205"/>
      <c r="M43" s="205"/>
      <c r="N43" s="205"/>
      <c r="O43" s="205"/>
      <c r="P43" s="210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23">
        <v>6</v>
      </c>
      <c r="C44" s="226">
        <f>+C39+$N$12</f>
        <v>7.6999999999999993</v>
      </c>
      <c r="D44" s="203">
        <v>0.44700000000000001</v>
      </c>
      <c r="E44" s="203">
        <v>0.55200000000000005</v>
      </c>
      <c r="F44" s="36" t="s">
        <v>75</v>
      </c>
      <c r="G44" s="37">
        <v>0</v>
      </c>
      <c r="H44" s="38"/>
      <c r="I44" s="39"/>
      <c r="J44" s="40">
        <v>0.48099999999999998</v>
      </c>
      <c r="K44" s="203">
        <f>+IF(E44&lt;=0.12,(J46),(IF(E44&lt;0.16,((J45+2*J46+J47)/4),IF(E44&gt;=0.16,((J44+3*J45+2*J46+3*J47+J48)/10)))))</f>
        <v>0.59729999999999994</v>
      </c>
      <c r="L44" s="203">
        <f>ROUND(+(D39+D44)/2*(C44-C39),3)</f>
        <v>0.39300000000000002</v>
      </c>
      <c r="M44" s="203">
        <f>ROUND(+K44*L44,4)</f>
        <v>0.23469999999999999</v>
      </c>
      <c r="N44" s="206">
        <f>ROUND(+M44/$M$88*100,2)</f>
        <v>10.11</v>
      </c>
      <c r="O44" s="207"/>
      <c r="P44" s="20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24"/>
      <c r="C45" s="204"/>
      <c r="D45" s="204"/>
      <c r="E45" s="204"/>
      <c r="F45" s="41" t="s">
        <v>76</v>
      </c>
      <c r="G45" s="42">
        <f>IF(E44&lt;0.125,"NA",IF(0.125&lt;=E44,(0.2*E44)))</f>
        <v>0.11040000000000001</v>
      </c>
      <c r="H45" s="43"/>
      <c r="I45" s="44"/>
      <c r="J45" s="45">
        <v>0.59399999999999997</v>
      </c>
      <c r="K45" s="204"/>
      <c r="L45" s="204"/>
      <c r="M45" s="204"/>
      <c r="N45" s="204"/>
      <c r="O45" s="204"/>
      <c r="P45" s="20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24"/>
      <c r="C46" s="204"/>
      <c r="D46" s="204"/>
      <c r="E46" s="204"/>
      <c r="F46" s="41" t="s">
        <v>77</v>
      </c>
      <c r="G46" s="42">
        <f>+E44*0.4</f>
        <v>0.22080000000000002</v>
      </c>
      <c r="H46" s="43"/>
      <c r="I46" s="44"/>
      <c r="J46" s="45">
        <v>0.58499999999999996</v>
      </c>
      <c r="K46" s="204"/>
      <c r="L46" s="204"/>
      <c r="M46" s="204"/>
      <c r="N46" s="204"/>
      <c r="O46" s="204"/>
      <c r="P46" s="20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24"/>
      <c r="C47" s="204"/>
      <c r="D47" s="204"/>
      <c r="E47" s="204"/>
      <c r="F47" s="41" t="s">
        <v>78</v>
      </c>
      <c r="G47" s="42">
        <f>IF(E44&lt;0.125,"NA",IF(0.125&lt;=E44,(0.8*E44)))</f>
        <v>0.44160000000000005</v>
      </c>
      <c r="H47" s="43"/>
      <c r="I47" s="44"/>
      <c r="J47" s="45">
        <v>0.67200000000000004</v>
      </c>
      <c r="K47" s="204"/>
      <c r="L47" s="204"/>
      <c r="M47" s="204"/>
      <c r="N47" s="204"/>
      <c r="O47" s="204"/>
      <c r="P47" s="20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5"/>
      <c r="C48" s="205"/>
      <c r="D48" s="205"/>
      <c r="E48" s="205"/>
      <c r="F48" s="46" t="s">
        <v>79</v>
      </c>
      <c r="G48" s="47">
        <f>+E44</f>
        <v>0.55200000000000005</v>
      </c>
      <c r="H48" s="48"/>
      <c r="I48" s="49"/>
      <c r="J48" s="50">
        <v>0.52400000000000002</v>
      </c>
      <c r="K48" s="205"/>
      <c r="L48" s="205"/>
      <c r="M48" s="205"/>
      <c r="N48" s="205"/>
      <c r="O48" s="205"/>
      <c r="P48" s="21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23">
        <v>7</v>
      </c>
      <c r="C49" s="226">
        <f>+C44+$N$12</f>
        <v>8.5</v>
      </c>
      <c r="D49" s="203">
        <v>0.41699999999999998</v>
      </c>
      <c r="E49" s="203">
        <v>0.37</v>
      </c>
      <c r="F49" s="36" t="s">
        <v>75</v>
      </c>
      <c r="G49" s="37">
        <v>0</v>
      </c>
      <c r="H49" s="38"/>
      <c r="I49" s="39"/>
      <c r="J49" s="40">
        <v>0.34300000000000003</v>
      </c>
      <c r="K49" s="203">
        <f>+IF(E49&lt;=0.12,(J51),(IF(E49&lt;0.16,((J50+2*J51+J52)/4),IF(E49&gt;=0.16,((J49+3*J50+2*J51+3*J52+J53)/10)))))</f>
        <v>0.55700000000000005</v>
      </c>
      <c r="L49" s="203">
        <f>ROUND(+(D44+D49)/2*(C49-C44),3)</f>
        <v>0.34599999999999997</v>
      </c>
      <c r="M49" s="203">
        <f>ROUND(+K49*L49,4)</f>
        <v>0.19270000000000001</v>
      </c>
      <c r="N49" s="206">
        <f>ROUND(+M49/$M$88*100,2)</f>
        <v>8.3000000000000007</v>
      </c>
      <c r="O49" s="207"/>
      <c r="P49" s="20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24"/>
      <c r="C50" s="204"/>
      <c r="D50" s="204"/>
      <c r="E50" s="204"/>
      <c r="F50" s="41" t="s">
        <v>76</v>
      </c>
      <c r="G50" s="42">
        <f>IF(E49&lt;0.125,"NA",IF(0.125&lt;=E49,(0.2*E49)))</f>
        <v>7.3999999999999996E-2</v>
      </c>
      <c r="H50" s="43"/>
      <c r="I50" s="44"/>
      <c r="J50" s="45">
        <v>0.54100000000000004</v>
      </c>
      <c r="K50" s="204"/>
      <c r="L50" s="204"/>
      <c r="M50" s="204"/>
      <c r="N50" s="204"/>
      <c r="O50" s="204"/>
      <c r="P50" s="20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24"/>
      <c r="C51" s="204"/>
      <c r="D51" s="204"/>
      <c r="E51" s="204"/>
      <c r="F51" s="41" t="s">
        <v>77</v>
      </c>
      <c r="G51" s="42">
        <f>+E49*0.4</f>
        <v>0.14799999999999999</v>
      </c>
      <c r="H51" s="43"/>
      <c r="I51" s="44"/>
      <c r="J51" s="45">
        <v>0.65700000000000003</v>
      </c>
      <c r="K51" s="204"/>
      <c r="L51" s="204"/>
      <c r="M51" s="204"/>
      <c r="N51" s="204"/>
      <c r="O51" s="204"/>
      <c r="P51" s="20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24"/>
      <c r="C52" s="204"/>
      <c r="D52" s="204"/>
      <c r="E52" s="204"/>
      <c r="F52" s="41" t="s">
        <v>78</v>
      </c>
      <c r="G52" s="42">
        <f>IF(E49&lt;0.125,"NA",IF(0.125&lt;=E49,(0.8*E49)))</f>
        <v>0.29599999999999999</v>
      </c>
      <c r="H52" s="43"/>
      <c r="I52" s="44"/>
      <c r="J52" s="45">
        <v>0.58199999999999996</v>
      </c>
      <c r="K52" s="204"/>
      <c r="L52" s="204"/>
      <c r="M52" s="204"/>
      <c r="N52" s="204"/>
      <c r="O52" s="204"/>
      <c r="P52" s="209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5"/>
      <c r="C53" s="205"/>
      <c r="D53" s="205"/>
      <c r="E53" s="205"/>
      <c r="F53" s="46" t="s">
        <v>79</v>
      </c>
      <c r="G53" s="47">
        <f>+E49</f>
        <v>0.37</v>
      </c>
      <c r="H53" s="48"/>
      <c r="I53" s="49"/>
      <c r="J53" s="50">
        <v>0.54400000000000004</v>
      </c>
      <c r="K53" s="205"/>
      <c r="L53" s="205"/>
      <c r="M53" s="205"/>
      <c r="N53" s="205"/>
      <c r="O53" s="205"/>
      <c r="P53" s="210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23">
        <v>8</v>
      </c>
      <c r="C54" s="226">
        <f>+C49+$N$12</f>
        <v>9.3000000000000007</v>
      </c>
      <c r="D54" s="203">
        <v>0.317</v>
      </c>
      <c r="E54" s="203">
        <v>0.41</v>
      </c>
      <c r="F54" s="36" t="s">
        <v>75</v>
      </c>
      <c r="G54" s="37">
        <v>0</v>
      </c>
      <c r="H54" s="38"/>
      <c r="I54" s="39"/>
      <c r="J54" s="40">
        <v>0.24099999999999999</v>
      </c>
      <c r="K54" s="203">
        <f>+IF(E54&lt;=0.12,(J56),(IF(E54&lt;0.16,((J55+2*J56+J57)/4),IF(E54&gt;=0.16,((J54+3*J55+2*J56+3*J57+J58)/10)))))</f>
        <v>0.44069999999999998</v>
      </c>
      <c r="L54" s="203">
        <f>ROUND(+(D49+D54)/2*(C54-C49),3)</f>
        <v>0.29399999999999998</v>
      </c>
      <c r="M54" s="203">
        <f>ROUND(+K54*L54,4)</f>
        <v>0.12959999999999999</v>
      </c>
      <c r="N54" s="206">
        <f>ROUND(+M54/$M$88*100,2)</f>
        <v>5.58</v>
      </c>
      <c r="O54" s="207"/>
      <c r="P54" s="20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24"/>
      <c r="C55" s="204"/>
      <c r="D55" s="204"/>
      <c r="E55" s="204"/>
      <c r="F55" s="41" t="s">
        <v>76</v>
      </c>
      <c r="G55" s="42">
        <f>IF(E54&lt;0.125,"NA",IF(0.125&lt;=E54,(0.2*E54)))</f>
        <v>8.2000000000000003E-2</v>
      </c>
      <c r="H55" s="43"/>
      <c r="I55" s="44"/>
      <c r="J55" s="45">
        <v>0.45200000000000001</v>
      </c>
      <c r="K55" s="204"/>
      <c r="L55" s="204"/>
      <c r="M55" s="204"/>
      <c r="N55" s="204"/>
      <c r="O55" s="204"/>
      <c r="P55" s="209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24"/>
      <c r="C56" s="204"/>
      <c r="D56" s="204"/>
      <c r="E56" s="204"/>
      <c r="F56" s="41" t="s">
        <v>77</v>
      </c>
      <c r="G56" s="42">
        <f>+E54*0.4</f>
        <v>0.16400000000000001</v>
      </c>
      <c r="H56" s="43"/>
      <c r="I56" s="44"/>
      <c r="J56" s="45">
        <v>0.47</v>
      </c>
      <c r="K56" s="204"/>
      <c r="L56" s="204"/>
      <c r="M56" s="204"/>
      <c r="N56" s="204"/>
      <c r="O56" s="204"/>
      <c r="P56" s="209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24"/>
      <c r="C57" s="204"/>
      <c r="D57" s="204"/>
      <c r="E57" s="204"/>
      <c r="F57" s="41" t="s">
        <v>78</v>
      </c>
      <c r="G57" s="42">
        <f>IF(E54&lt;0.125,"NA",IF(0.125&lt;=E54,(0.8*E54)))</f>
        <v>0.32800000000000001</v>
      </c>
      <c r="H57" s="43"/>
      <c r="I57" s="44"/>
      <c r="J57" s="45">
        <v>0.46800000000000003</v>
      </c>
      <c r="K57" s="204"/>
      <c r="L57" s="204"/>
      <c r="M57" s="204"/>
      <c r="N57" s="204"/>
      <c r="O57" s="204"/>
      <c r="P57" s="209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5"/>
      <c r="C58" s="205"/>
      <c r="D58" s="205"/>
      <c r="E58" s="205"/>
      <c r="F58" s="46" t="s">
        <v>79</v>
      </c>
      <c r="G58" s="47">
        <f>+E54</f>
        <v>0.41</v>
      </c>
      <c r="H58" s="48"/>
      <c r="I58" s="49"/>
      <c r="J58" s="50">
        <v>0.46600000000000003</v>
      </c>
      <c r="K58" s="205"/>
      <c r="L58" s="205"/>
      <c r="M58" s="205"/>
      <c r="N58" s="205"/>
      <c r="O58" s="205"/>
      <c r="P58" s="210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23">
        <v>9</v>
      </c>
      <c r="C59" s="226">
        <f>+C54+$N$12</f>
        <v>10.100000000000001</v>
      </c>
      <c r="D59" s="203">
        <v>0.14599999999999999</v>
      </c>
      <c r="E59" s="203">
        <v>0.22</v>
      </c>
      <c r="F59" s="36" t="s">
        <v>75</v>
      </c>
      <c r="G59" s="37">
        <v>0</v>
      </c>
      <c r="H59" s="38"/>
      <c r="I59" s="39"/>
      <c r="J59" s="40">
        <v>5.6000000000000001E-2</v>
      </c>
      <c r="K59" s="203">
        <f>+IF(E59&lt;=0.12,(J61),(IF(E59&lt;0.16,((J60+2*J61+J62)/4),IF(E59&gt;=0.16,((J59+3*J60+2*J61+3*J62+J63)/10)))))</f>
        <v>0.1867</v>
      </c>
      <c r="L59" s="203">
        <f>ROUND(+(D49+D59)/2*(C59-C49),3)</f>
        <v>0.45</v>
      </c>
      <c r="M59" s="203">
        <f>ROUND(+K59*L59,4)</f>
        <v>8.4000000000000005E-2</v>
      </c>
      <c r="N59" s="206">
        <f>ROUND(+M59/$M$88*100,2)</f>
        <v>3.62</v>
      </c>
      <c r="O59" s="207"/>
      <c r="P59" s="20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24"/>
      <c r="C60" s="204"/>
      <c r="D60" s="204"/>
      <c r="E60" s="204"/>
      <c r="F60" s="41" t="s">
        <v>76</v>
      </c>
      <c r="G60" s="42">
        <f>IF(E59&lt;0.125,"NA",IF(0.125&lt;=E59,(0.2*E59)))</f>
        <v>4.4000000000000004E-2</v>
      </c>
      <c r="H60" s="43"/>
      <c r="I60" s="44"/>
      <c r="J60" s="45">
        <v>0.158</v>
      </c>
      <c r="K60" s="204"/>
      <c r="L60" s="204"/>
      <c r="M60" s="204"/>
      <c r="N60" s="204"/>
      <c r="O60" s="204"/>
      <c r="P60" s="209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24"/>
      <c r="C61" s="204"/>
      <c r="D61" s="204"/>
      <c r="E61" s="204"/>
      <c r="F61" s="41" t="s">
        <v>77</v>
      </c>
      <c r="G61" s="42">
        <f>+E59*0.4</f>
        <v>8.8000000000000009E-2</v>
      </c>
      <c r="H61" s="43"/>
      <c r="I61" s="44"/>
      <c r="J61" s="45">
        <v>0.17199999999999999</v>
      </c>
      <c r="K61" s="204"/>
      <c r="L61" s="204"/>
      <c r="M61" s="204"/>
      <c r="N61" s="204"/>
      <c r="O61" s="204"/>
      <c r="P61" s="20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24"/>
      <c r="C62" s="204"/>
      <c r="D62" s="204"/>
      <c r="E62" s="204"/>
      <c r="F62" s="41" t="s">
        <v>78</v>
      </c>
      <c r="G62" s="42">
        <f>IF(E59&lt;0.125,"NA",IF(0.125&lt;=E59,(0.8*E59)))</f>
        <v>0.17600000000000002</v>
      </c>
      <c r="H62" s="43"/>
      <c r="I62" s="44"/>
      <c r="J62" s="45">
        <v>0.26300000000000001</v>
      </c>
      <c r="K62" s="204"/>
      <c r="L62" s="204"/>
      <c r="M62" s="204"/>
      <c r="N62" s="204"/>
      <c r="O62" s="204"/>
      <c r="P62" s="209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5"/>
      <c r="C63" s="205"/>
      <c r="D63" s="205"/>
      <c r="E63" s="205"/>
      <c r="F63" s="46" t="s">
        <v>79</v>
      </c>
      <c r="G63" s="47">
        <f>+E59</f>
        <v>0.22</v>
      </c>
      <c r="H63" s="48"/>
      <c r="I63" s="49"/>
      <c r="J63" s="50">
        <v>0.20399999999999999</v>
      </c>
      <c r="K63" s="205"/>
      <c r="L63" s="205"/>
      <c r="M63" s="205"/>
      <c r="N63" s="205"/>
      <c r="O63" s="205"/>
      <c r="P63" s="210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23">
        <v>10</v>
      </c>
      <c r="C64" s="226">
        <f>+C59+$N$12</f>
        <v>10.900000000000002</v>
      </c>
      <c r="D64" s="203">
        <v>0.04</v>
      </c>
      <c r="E64" s="203">
        <v>9.2999999999999999E-2</v>
      </c>
      <c r="F64" s="36" t="s">
        <v>75</v>
      </c>
      <c r="G64" s="37">
        <v>0</v>
      </c>
      <c r="H64" s="38"/>
      <c r="I64" s="39"/>
      <c r="J64" s="40"/>
      <c r="K64" s="203">
        <f>+IF(E64&lt;=0.12,(J66),(IF(E64&lt;0.16,((J65+2*J66+J67)/4),IF(E64&gt;=0.16,((J64+3*J65+2*J66+3*J67+J68)/10)))))</f>
        <v>1.4999999999999999E-2</v>
      </c>
      <c r="L64" s="203">
        <f>ROUND(+(D54+D64)/2*(C64-C54),3)</f>
        <v>0.28599999999999998</v>
      </c>
      <c r="M64" s="203">
        <f>ROUND(+K64*L64,4)</f>
        <v>4.3E-3</v>
      </c>
      <c r="N64" s="206">
        <f>ROUND(+M64/$M$88*100,2)</f>
        <v>0.19</v>
      </c>
      <c r="O64" s="207"/>
      <c r="P64" s="20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24"/>
      <c r="C65" s="204"/>
      <c r="D65" s="204"/>
      <c r="E65" s="204"/>
      <c r="F65" s="41" t="s">
        <v>76</v>
      </c>
      <c r="G65" s="42" t="str">
        <f>IF(E64&lt;0.125,"NA",IF(0.125&lt;=E64,(0.2*E64)))</f>
        <v>NA</v>
      </c>
      <c r="H65" s="43"/>
      <c r="I65" s="44"/>
      <c r="J65" s="45"/>
      <c r="K65" s="204"/>
      <c r="L65" s="204"/>
      <c r="M65" s="204"/>
      <c r="N65" s="204"/>
      <c r="O65" s="204"/>
      <c r="P65" s="209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24"/>
      <c r="C66" s="204"/>
      <c r="D66" s="204"/>
      <c r="E66" s="204"/>
      <c r="F66" s="41" t="s">
        <v>77</v>
      </c>
      <c r="G66" s="42">
        <f>+E64*0.4</f>
        <v>3.7200000000000004E-2</v>
      </c>
      <c r="H66" s="43"/>
      <c r="I66" s="44"/>
      <c r="J66" s="45">
        <v>1.4999999999999999E-2</v>
      </c>
      <c r="K66" s="204"/>
      <c r="L66" s="204"/>
      <c r="M66" s="204"/>
      <c r="N66" s="204"/>
      <c r="O66" s="204"/>
      <c r="P66" s="20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24"/>
      <c r="C67" s="204"/>
      <c r="D67" s="204"/>
      <c r="E67" s="204"/>
      <c r="F67" s="41" t="s">
        <v>78</v>
      </c>
      <c r="G67" s="42" t="str">
        <f>IF(E64&lt;0.125,"NA",IF(0.125&lt;=E64,(0.8*E64)))</f>
        <v>NA</v>
      </c>
      <c r="H67" s="43"/>
      <c r="I67" s="44"/>
      <c r="J67" s="45"/>
      <c r="K67" s="204"/>
      <c r="L67" s="204"/>
      <c r="M67" s="204"/>
      <c r="N67" s="204"/>
      <c r="O67" s="204"/>
      <c r="P67" s="209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5"/>
      <c r="C68" s="205"/>
      <c r="D68" s="205"/>
      <c r="E68" s="205"/>
      <c r="F68" s="46" t="s">
        <v>79</v>
      </c>
      <c r="G68" s="47">
        <f>+E64</f>
        <v>9.2999999999999999E-2</v>
      </c>
      <c r="H68" s="48"/>
      <c r="I68" s="49"/>
      <c r="J68" s="50">
        <v>1.6E-2</v>
      </c>
      <c r="K68" s="205"/>
      <c r="L68" s="205"/>
      <c r="M68" s="205"/>
      <c r="N68" s="205"/>
      <c r="O68" s="205"/>
      <c r="P68" s="210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" customFormat="1" ht="13.5" customHeight="1" x14ac:dyDescent="0.2">
      <c r="B69" s="211" t="s">
        <v>28</v>
      </c>
      <c r="C69" s="214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6"/>
    </row>
    <row r="70" spans="1:26" s="3" customFormat="1" ht="14.1" customHeight="1" x14ac:dyDescent="0.2">
      <c r="B70" s="212"/>
      <c r="C70" s="217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9"/>
    </row>
    <row r="71" spans="1:26" s="3" customFormat="1" ht="14.1" customHeight="1" x14ac:dyDescent="0.2">
      <c r="B71" s="212"/>
      <c r="C71" s="217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9"/>
    </row>
    <row r="72" spans="1:26" s="3" customFormat="1" ht="14.1" customHeight="1" x14ac:dyDescent="0.2">
      <c r="B72" s="212"/>
      <c r="C72" s="217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9"/>
    </row>
    <row r="73" spans="1:26" s="3" customFormat="1" ht="14.1" customHeight="1" x14ac:dyDescent="0.2">
      <c r="B73" s="212"/>
      <c r="C73" s="217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9"/>
    </row>
    <row r="74" spans="1:26" s="3" customFormat="1" ht="14.1" customHeight="1" thickBot="1" x14ac:dyDescent="0.25">
      <c r="B74" s="213"/>
      <c r="C74" s="220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2"/>
    </row>
    <row r="75" spans="1:26" s="3" customFormat="1" ht="28.5" customHeight="1" thickBot="1" x14ac:dyDescent="0.25">
      <c r="A75" s="51"/>
      <c r="B75" s="52" t="s">
        <v>80</v>
      </c>
      <c r="C75" s="190" t="s">
        <v>81</v>
      </c>
      <c r="D75" s="190"/>
      <c r="E75" s="190"/>
      <c r="F75" s="190"/>
      <c r="G75" s="190"/>
      <c r="H75" s="191"/>
      <c r="I75" s="192"/>
      <c r="J75" s="52" t="s">
        <v>82</v>
      </c>
      <c r="K75" s="190" t="s">
        <v>83</v>
      </c>
      <c r="L75" s="190"/>
      <c r="M75" s="190"/>
      <c r="N75" s="190"/>
      <c r="O75" s="190"/>
      <c r="P75" s="191"/>
    </row>
    <row r="76" spans="1:26" s="3" customFormat="1" ht="28.5" customHeight="1" thickBot="1" x14ac:dyDescent="0.25">
      <c r="B76" s="53" t="s">
        <v>84</v>
      </c>
      <c r="C76" s="194" t="s">
        <v>85</v>
      </c>
      <c r="D76" s="194"/>
      <c r="E76" s="194"/>
      <c r="F76" s="194"/>
      <c r="G76" s="194"/>
      <c r="H76" s="195"/>
      <c r="I76" s="193"/>
      <c r="J76" s="53" t="s">
        <v>86</v>
      </c>
      <c r="K76" s="194" t="s">
        <v>87</v>
      </c>
      <c r="L76" s="194"/>
      <c r="M76" s="194"/>
      <c r="N76" s="194"/>
      <c r="O76" s="194"/>
      <c r="P76" s="195"/>
    </row>
    <row r="77" spans="1:26" s="94" customFormat="1" ht="13.5" customHeight="1" x14ac:dyDescent="0.25">
      <c r="A77" s="54"/>
      <c r="B77" s="196">
        <f>+B24</f>
        <v>2</v>
      </c>
      <c r="C77" s="199">
        <f>+C19</f>
        <v>3.7</v>
      </c>
      <c r="D77" s="201">
        <f>+D19</f>
        <v>0.70499999999999996</v>
      </c>
      <c r="E77" s="201">
        <f>+E24</f>
        <v>0.68600000000000005</v>
      </c>
      <c r="F77" s="55" t="s">
        <v>75</v>
      </c>
      <c r="G77" s="55">
        <v>0.01</v>
      </c>
      <c r="H77" s="56"/>
      <c r="I77" s="57"/>
      <c r="J77" s="58">
        <v>0.60499999999999998</v>
      </c>
      <c r="K77" s="202">
        <f>+AVERAGE(J77:J87)</f>
        <v>0.80681818181818177</v>
      </c>
      <c r="L77" s="181">
        <f>ROUND(+(D77+D82)/2*(C82-C77),3)</f>
        <v>0.55800000000000005</v>
      </c>
      <c r="M77" s="184">
        <f>ROUND(+K77*L77,4)</f>
        <v>0.45019999999999999</v>
      </c>
      <c r="N77" s="181">
        <f>ROUND(+M77/$M$88*100,2)</f>
        <v>19.399999999999999</v>
      </c>
      <c r="O77" s="181"/>
      <c r="P77" s="185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s="94" customFormat="1" ht="13.5" customHeight="1" x14ac:dyDescent="0.25">
      <c r="A78" s="54"/>
      <c r="B78" s="197"/>
      <c r="C78" s="182"/>
      <c r="D78" s="182"/>
      <c r="E78" s="182"/>
      <c r="F78" s="60" t="s">
        <v>88</v>
      </c>
      <c r="G78" s="61">
        <f>+E77*0.1</f>
        <v>6.8600000000000008E-2</v>
      </c>
      <c r="H78" s="62"/>
      <c r="I78" s="63"/>
      <c r="J78" s="64">
        <v>0.73399999999999999</v>
      </c>
      <c r="K78" s="182"/>
      <c r="L78" s="182"/>
      <c r="M78" s="182"/>
      <c r="N78" s="182"/>
      <c r="O78" s="182"/>
      <c r="P78" s="186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s="94" customFormat="1" ht="13.5" customHeight="1" x14ac:dyDescent="0.25">
      <c r="A79" s="54"/>
      <c r="B79" s="197"/>
      <c r="C79" s="182"/>
      <c r="D79" s="182"/>
      <c r="E79" s="182"/>
      <c r="F79" s="60" t="s">
        <v>89</v>
      </c>
      <c r="G79" s="61">
        <f>+E77*0.2</f>
        <v>0.13720000000000002</v>
      </c>
      <c r="H79" s="62"/>
      <c r="I79" s="63"/>
      <c r="J79" s="64">
        <v>0.80500000000000005</v>
      </c>
      <c r="K79" s="182"/>
      <c r="L79" s="182"/>
      <c r="M79" s="182"/>
      <c r="N79" s="182"/>
      <c r="O79" s="182"/>
      <c r="P79" s="186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s="94" customFormat="1" ht="13.5" customHeight="1" x14ac:dyDescent="0.25">
      <c r="A80" s="54"/>
      <c r="B80" s="197"/>
      <c r="C80" s="182"/>
      <c r="D80" s="182"/>
      <c r="E80" s="182"/>
      <c r="F80" s="60" t="s">
        <v>90</v>
      </c>
      <c r="G80" s="61">
        <f>+E77*0.3</f>
        <v>0.20580000000000001</v>
      </c>
      <c r="H80" s="62"/>
      <c r="I80" s="63"/>
      <c r="J80" s="64">
        <v>0.78400000000000003</v>
      </c>
      <c r="K80" s="182"/>
      <c r="L80" s="182"/>
      <c r="M80" s="182"/>
      <c r="N80" s="182"/>
      <c r="O80" s="182"/>
      <c r="P80" s="186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s="94" customFormat="1" ht="13.5" customHeight="1" x14ac:dyDescent="0.25">
      <c r="A81" s="54"/>
      <c r="B81" s="197"/>
      <c r="C81" s="200"/>
      <c r="D81" s="200"/>
      <c r="E81" s="182"/>
      <c r="F81" s="60" t="s">
        <v>91</v>
      </c>
      <c r="G81" s="61">
        <f>+E77*0.4</f>
        <v>0.27440000000000003</v>
      </c>
      <c r="H81" s="62"/>
      <c r="I81" s="63"/>
      <c r="J81" s="64">
        <v>0.76200000000000001</v>
      </c>
      <c r="K81" s="182"/>
      <c r="L81" s="182"/>
      <c r="M81" s="182"/>
      <c r="N81" s="182"/>
      <c r="O81" s="182"/>
      <c r="P81" s="186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s="94" customFormat="1" ht="13.5" customHeight="1" x14ac:dyDescent="0.25">
      <c r="A82" s="54"/>
      <c r="B82" s="197"/>
      <c r="C82" s="188">
        <f>+C24</f>
        <v>4.5</v>
      </c>
      <c r="D82" s="189">
        <f>+D24</f>
        <v>0.69</v>
      </c>
      <c r="E82" s="182"/>
      <c r="F82" s="60" t="s">
        <v>29</v>
      </c>
      <c r="G82" s="61">
        <f>+E77*0.5</f>
        <v>0.34300000000000003</v>
      </c>
      <c r="H82" s="62"/>
      <c r="I82" s="63"/>
      <c r="J82" s="64">
        <v>0.78500000000000003</v>
      </c>
      <c r="K82" s="182"/>
      <c r="L82" s="182"/>
      <c r="M82" s="182"/>
      <c r="N82" s="182"/>
      <c r="O82" s="182"/>
      <c r="P82" s="186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s="94" customFormat="1" ht="13.5" customHeight="1" x14ac:dyDescent="0.25">
      <c r="A83" s="54"/>
      <c r="B83" s="197"/>
      <c r="C83" s="182"/>
      <c r="D83" s="182"/>
      <c r="E83" s="182"/>
      <c r="F83" s="60" t="s">
        <v>92</v>
      </c>
      <c r="G83" s="61">
        <f>+E77*0.6</f>
        <v>0.41160000000000002</v>
      </c>
      <c r="H83" s="62"/>
      <c r="I83" s="63"/>
      <c r="J83" s="64">
        <v>0.83599999999999997</v>
      </c>
      <c r="K83" s="182"/>
      <c r="L83" s="182"/>
      <c r="M83" s="182"/>
      <c r="N83" s="182"/>
      <c r="O83" s="182"/>
      <c r="P83" s="186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s="94" customFormat="1" ht="13.5" customHeight="1" x14ac:dyDescent="0.25">
      <c r="A84" s="54"/>
      <c r="B84" s="197"/>
      <c r="C84" s="182"/>
      <c r="D84" s="182"/>
      <c r="E84" s="182"/>
      <c r="F84" s="60" t="s">
        <v>93</v>
      </c>
      <c r="G84" s="61">
        <f>+E77*0.7</f>
        <v>0.48020000000000002</v>
      </c>
      <c r="H84" s="62"/>
      <c r="I84" s="63"/>
      <c r="J84" s="64">
        <v>0.86</v>
      </c>
      <c r="K84" s="182"/>
      <c r="L84" s="182"/>
      <c r="M84" s="182"/>
      <c r="N84" s="182"/>
      <c r="O84" s="182"/>
      <c r="P84" s="186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s="94" customFormat="1" ht="13.5" customHeight="1" x14ac:dyDescent="0.25">
      <c r="A85" s="54"/>
      <c r="B85" s="197"/>
      <c r="C85" s="182"/>
      <c r="D85" s="182"/>
      <c r="E85" s="182"/>
      <c r="F85" s="60" t="s">
        <v>94</v>
      </c>
      <c r="G85" s="61">
        <f>+E77*0.8</f>
        <v>0.54880000000000007</v>
      </c>
      <c r="H85" s="62"/>
      <c r="I85" s="63"/>
      <c r="J85" s="64">
        <v>0.84099999999999997</v>
      </c>
      <c r="K85" s="182"/>
      <c r="L85" s="182"/>
      <c r="M85" s="182"/>
      <c r="N85" s="182"/>
      <c r="O85" s="182"/>
      <c r="P85" s="186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s="94" customFormat="1" ht="13.5" customHeight="1" x14ac:dyDescent="0.25">
      <c r="A86" s="54"/>
      <c r="B86" s="197"/>
      <c r="C86" s="182"/>
      <c r="D86" s="182"/>
      <c r="E86" s="182"/>
      <c r="F86" s="60" t="s">
        <v>95</v>
      </c>
      <c r="G86" s="61">
        <f>+E77*0.9</f>
        <v>0.61740000000000006</v>
      </c>
      <c r="H86" s="62"/>
      <c r="I86" s="63"/>
      <c r="J86" s="64">
        <v>0.95799999999999996</v>
      </c>
      <c r="K86" s="182"/>
      <c r="L86" s="182"/>
      <c r="M86" s="182"/>
      <c r="N86" s="182"/>
      <c r="O86" s="182"/>
      <c r="P86" s="186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s="94" customFormat="1" ht="15.75" thickBot="1" x14ac:dyDescent="0.3">
      <c r="A87" s="54"/>
      <c r="B87" s="198"/>
      <c r="C87" s="183"/>
      <c r="D87" s="183"/>
      <c r="E87" s="183"/>
      <c r="F87" s="65" t="s">
        <v>30</v>
      </c>
      <c r="G87" s="65">
        <f>+E77</f>
        <v>0.68600000000000005</v>
      </c>
      <c r="H87" s="66"/>
      <c r="I87" s="67"/>
      <c r="J87" s="68">
        <v>0.90500000000000003</v>
      </c>
      <c r="K87" s="183"/>
      <c r="L87" s="183"/>
      <c r="M87" s="183"/>
      <c r="N87" s="183"/>
      <c r="O87" s="183"/>
      <c r="P87" s="187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3" customFormat="1" ht="12.75" x14ac:dyDescent="0.2">
      <c r="A88" s="8"/>
      <c r="B88" s="169" t="s">
        <v>111</v>
      </c>
      <c r="C88" s="169"/>
      <c r="D88" s="169"/>
      <c r="E88" s="169"/>
      <c r="F88" s="169"/>
      <c r="G88" s="169"/>
      <c r="H88" s="169"/>
      <c r="I88" s="169"/>
      <c r="J88" s="169"/>
      <c r="K88" s="13">
        <f>ROUND(+M88/L88,3)</f>
        <v>0.55600000000000005</v>
      </c>
      <c r="L88" s="12">
        <f>SUM(L19:L87)</f>
        <v>4.1760000000000002</v>
      </c>
      <c r="M88" s="11">
        <f>SUM(M19:M87)</f>
        <v>2.3207999999999998</v>
      </c>
      <c r="N88" s="9">
        <f>ROUND(SUM(N19:N87),0)</f>
        <v>100</v>
      </c>
      <c r="O88" s="171" t="s">
        <v>31</v>
      </c>
      <c r="P88" s="173"/>
    </row>
    <row r="89" spans="1:26" s="3" customFormat="1" ht="15" customHeight="1" thickBot="1" x14ac:dyDescent="0.25">
      <c r="A89" s="8"/>
      <c r="B89" s="170"/>
      <c r="C89" s="170"/>
      <c r="D89" s="170"/>
      <c r="E89" s="170"/>
      <c r="F89" s="170"/>
      <c r="G89" s="170"/>
      <c r="H89" s="170"/>
      <c r="I89" s="170"/>
      <c r="J89" s="170"/>
      <c r="K89" s="10" t="s">
        <v>32</v>
      </c>
      <c r="L89" s="10" t="s">
        <v>48</v>
      </c>
      <c r="M89" s="10" t="s">
        <v>101</v>
      </c>
      <c r="N89" s="10" t="s">
        <v>33</v>
      </c>
      <c r="O89" s="172"/>
      <c r="P89" s="174"/>
    </row>
    <row r="90" spans="1:26" ht="15" customHeight="1" thickBot="1" x14ac:dyDescent="0.3">
      <c r="A90" s="96"/>
      <c r="B90" s="175" t="s">
        <v>96</v>
      </c>
      <c r="C90" s="176"/>
      <c r="D90" s="176"/>
      <c r="E90" s="176"/>
      <c r="F90" s="177"/>
      <c r="G90" s="175" t="s">
        <v>97</v>
      </c>
      <c r="H90" s="176"/>
      <c r="I90" s="176"/>
      <c r="J90" s="176"/>
      <c r="K90" s="177"/>
      <c r="L90" s="178" t="s">
        <v>49</v>
      </c>
      <c r="M90" s="179"/>
      <c r="N90" s="179"/>
      <c r="O90" s="179"/>
      <c r="P90" s="180"/>
    </row>
    <row r="91" spans="1:26" ht="15" customHeight="1" x14ac:dyDescent="0.25">
      <c r="A91" s="96"/>
      <c r="B91" s="139"/>
      <c r="C91" s="140"/>
      <c r="D91" s="140"/>
      <c r="E91" s="140"/>
      <c r="F91" s="141"/>
      <c r="G91" s="139"/>
      <c r="H91" s="140"/>
      <c r="I91" s="140"/>
      <c r="J91" s="140"/>
      <c r="K91" s="141"/>
      <c r="L91" s="148" t="s">
        <v>98</v>
      </c>
      <c r="M91" s="149"/>
      <c r="N91" s="149"/>
      <c r="O91" s="150">
        <f>+AVERAGE(E18:E68)</f>
        <v>0.43490000000000001</v>
      </c>
      <c r="P91" s="151"/>
    </row>
    <row r="92" spans="1:26" ht="15" customHeight="1" thickBot="1" x14ac:dyDescent="0.3">
      <c r="A92" s="96"/>
      <c r="B92" s="142"/>
      <c r="C92" s="143"/>
      <c r="D92" s="143"/>
      <c r="E92" s="143"/>
      <c r="F92" s="144"/>
      <c r="G92" s="142"/>
      <c r="H92" s="143"/>
      <c r="I92" s="143"/>
      <c r="J92" s="143"/>
      <c r="K92" s="144"/>
      <c r="L92" s="152" t="s">
        <v>99</v>
      </c>
      <c r="M92" s="153"/>
      <c r="N92" s="153"/>
      <c r="O92" s="154">
        <f>MAX(E18:E68)</f>
        <v>0.68600000000000005</v>
      </c>
      <c r="P92" s="155"/>
    </row>
    <row r="93" spans="1:26" ht="18.600000000000001" customHeight="1" x14ac:dyDescent="0.25">
      <c r="A93" s="97"/>
      <c r="B93" s="142"/>
      <c r="C93" s="143"/>
      <c r="D93" s="143"/>
      <c r="E93" s="143"/>
      <c r="F93" s="144"/>
      <c r="G93" s="142"/>
      <c r="H93" s="143"/>
      <c r="I93" s="143"/>
      <c r="J93" s="143"/>
      <c r="K93" s="144"/>
      <c r="L93" s="156"/>
      <c r="M93" s="157"/>
      <c r="N93" s="157"/>
      <c r="O93" s="157"/>
      <c r="P93" s="158"/>
    </row>
    <row r="94" spans="1:26" ht="42" customHeight="1" x14ac:dyDescent="0.25">
      <c r="A94" s="98"/>
      <c r="B94" s="142"/>
      <c r="C94" s="143"/>
      <c r="D94" s="143"/>
      <c r="E94" s="143"/>
      <c r="F94" s="144"/>
      <c r="G94" s="142"/>
      <c r="H94" s="143"/>
      <c r="I94" s="143"/>
      <c r="J94" s="143"/>
      <c r="K94" s="144"/>
      <c r="L94" s="159"/>
      <c r="M94" s="160"/>
      <c r="N94" s="160"/>
      <c r="O94" s="160"/>
      <c r="P94" s="161"/>
    </row>
    <row r="95" spans="1:26" ht="15" customHeight="1" thickBot="1" x14ac:dyDescent="0.3">
      <c r="A95" s="96"/>
      <c r="B95" s="142"/>
      <c r="C95" s="143"/>
      <c r="D95" s="143"/>
      <c r="E95" s="143"/>
      <c r="F95" s="144"/>
      <c r="G95" s="142"/>
      <c r="H95" s="143"/>
      <c r="I95" s="143"/>
      <c r="J95" s="143"/>
      <c r="K95" s="144"/>
      <c r="L95" s="162"/>
      <c r="M95" s="163"/>
      <c r="N95" s="163"/>
      <c r="O95" s="163"/>
      <c r="P95" s="164"/>
    </row>
    <row r="96" spans="1:26" ht="22.5" customHeight="1" thickBot="1" x14ac:dyDescent="0.3">
      <c r="A96" s="96"/>
      <c r="B96" s="142"/>
      <c r="C96" s="143"/>
      <c r="D96" s="143"/>
      <c r="E96" s="143"/>
      <c r="F96" s="144"/>
      <c r="G96" s="142"/>
      <c r="H96" s="143"/>
      <c r="I96" s="143"/>
      <c r="J96" s="143"/>
      <c r="K96" s="144"/>
      <c r="L96" s="165" t="s">
        <v>34</v>
      </c>
      <c r="M96" s="166"/>
      <c r="N96" s="166"/>
      <c r="O96" s="166"/>
      <c r="P96" s="90">
        <v>7.8</v>
      </c>
    </row>
    <row r="97" spans="1:16" ht="32.25" customHeight="1" thickBot="1" x14ac:dyDescent="0.3">
      <c r="A97" s="96"/>
      <c r="B97" s="145"/>
      <c r="C97" s="146"/>
      <c r="D97" s="146"/>
      <c r="E97" s="146"/>
      <c r="F97" s="147"/>
      <c r="G97" s="145"/>
      <c r="H97" s="146"/>
      <c r="I97" s="146"/>
      <c r="J97" s="146"/>
      <c r="K97" s="147"/>
      <c r="L97" s="167" t="s">
        <v>104</v>
      </c>
      <c r="M97" s="168"/>
      <c r="N97" s="168"/>
      <c r="O97" s="168"/>
      <c r="P97" s="90">
        <v>1.6099000000000001</v>
      </c>
    </row>
    <row r="98" spans="1:16" ht="23.45" customHeight="1" thickBot="1" x14ac:dyDescent="0.3">
      <c r="A98" s="5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</row>
    <row r="99" spans="1:16" ht="15.75" thickBot="1" x14ac:dyDescent="0.3">
      <c r="A99" s="128" t="s">
        <v>35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30"/>
    </row>
    <row r="100" spans="1:16" ht="159" customHeight="1" thickBot="1" x14ac:dyDescent="0.3">
      <c r="A100" s="4"/>
      <c r="B100" s="131"/>
      <c r="C100" s="132"/>
      <c r="D100" s="132"/>
      <c r="E100" s="132"/>
      <c r="F100" s="133"/>
      <c r="G100" s="131"/>
      <c r="H100" s="132"/>
      <c r="I100" s="132"/>
      <c r="J100" s="132"/>
      <c r="K100" s="133"/>
      <c r="L100" s="131"/>
      <c r="M100" s="132"/>
      <c r="N100" s="132"/>
      <c r="O100" s="132"/>
      <c r="P100" s="134"/>
    </row>
    <row r="101" spans="1:16" ht="21.75" customHeight="1" thickBot="1" x14ac:dyDescent="0.3">
      <c r="A101" s="4"/>
      <c r="B101" s="135" t="s">
        <v>112</v>
      </c>
      <c r="C101" s="136"/>
      <c r="D101" s="136"/>
      <c r="E101" s="136"/>
      <c r="F101" s="137"/>
      <c r="G101" s="135" t="s">
        <v>113</v>
      </c>
      <c r="H101" s="136"/>
      <c r="I101" s="136"/>
      <c r="J101" s="136"/>
      <c r="K101" s="137"/>
      <c r="L101" s="135" t="s">
        <v>114</v>
      </c>
      <c r="M101" s="136"/>
      <c r="N101" s="136"/>
      <c r="O101" s="136"/>
      <c r="P101" s="138"/>
    </row>
    <row r="102" spans="1:16" s="7" customFormat="1" ht="16.899999999999999" customHeight="1" thickBot="1" x14ac:dyDescent="0.3">
      <c r="A102" s="6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3"/>
    </row>
    <row r="103" spans="1:16" s="3" customFormat="1" ht="15.75" customHeight="1" thickBot="1" x14ac:dyDescent="0.25">
      <c r="A103" s="124" t="s">
        <v>36</v>
      </c>
      <c r="B103" s="125"/>
      <c r="C103" s="125"/>
      <c r="D103" s="125"/>
      <c r="E103" s="125"/>
      <c r="F103" s="125"/>
      <c r="G103" s="125"/>
      <c r="H103" s="125"/>
      <c r="I103" s="125"/>
      <c r="J103" s="125" t="s">
        <v>37</v>
      </c>
      <c r="K103" s="125"/>
      <c r="L103" s="125"/>
      <c r="M103" s="125"/>
      <c r="N103" s="125"/>
      <c r="O103" s="125"/>
      <c r="P103" s="126"/>
    </row>
  </sheetData>
  <mergeCells count="2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K101"/>
    <mergeCell ref="L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3"/>
  <sheetViews>
    <sheetView view="pageBreakPreview" zoomScaleSheetLayoutView="100" zoomScalePageLayoutView="110" workbookViewId="0">
      <selection activeCell="D19" sqref="D19:D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51"/>
      <c r="B2" s="352"/>
      <c r="C2" s="353"/>
      <c r="D2" s="354"/>
      <c r="E2" s="355" t="s">
        <v>123</v>
      </c>
      <c r="F2" s="356"/>
      <c r="G2" s="356"/>
      <c r="H2" s="356"/>
      <c r="I2" s="356"/>
      <c r="J2" s="356"/>
      <c r="K2" s="356"/>
      <c r="L2" s="356"/>
      <c r="M2" s="356"/>
      <c r="N2" s="356"/>
      <c r="O2" s="357"/>
      <c r="P2" s="358"/>
    </row>
    <row r="3" spans="1:26" s="2" customFormat="1" ht="25.5" customHeight="1" thickBot="1" x14ac:dyDescent="0.3">
      <c r="A3" s="351"/>
      <c r="B3" s="359"/>
      <c r="C3" s="360"/>
      <c r="D3" s="361"/>
      <c r="E3" s="362"/>
      <c r="F3" s="363"/>
      <c r="G3" s="363"/>
      <c r="H3" s="363"/>
      <c r="I3" s="363"/>
      <c r="J3" s="363"/>
      <c r="K3" s="363"/>
      <c r="L3" s="363"/>
      <c r="M3" s="363"/>
      <c r="N3" s="363"/>
      <c r="O3" s="364"/>
      <c r="P3" s="365"/>
    </row>
    <row r="4" spans="1:26" s="94" customFormat="1" ht="11.25" customHeight="1" thickBot="1" x14ac:dyDescent="0.3">
      <c r="A4" s="15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10">
        <v>43084</v>
      </c>
      <c r="D5" s="311"/>
      <c r="E5" s="70" t="s">
        <v>50</v>
      </c>
      <c r="F5" s="71">
        <v>2</v>
      </c>
      <c r="G5" s="72" t="s">
        <v>1</v>
      </c>
      <c r="H5" s="312" t="s">
        <v>124</v>
      </c>
      <c r="I5" s="313"/>
      <c r="J5" s="313"/>
      <c r="K5" s="313"/>
      <c r="L5" s="313"/>
      <c r="M5" s="313"/>
      <c r="N5" s="313"/>
      <c r="O5" s="313"/>
      <c r="P5" s="31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93" t="s">
        <v>2</v>
      </c>
      <c r="C6" s="294"/>
      <c r="D6" s="295" t="s">
        <v>108</v>
      </c>
      <c r="E6" s="296"/>
      <c r="F6" s="296"/>
      <c r="G6" s="296"/>
      <c r="H6" s="296"/>
      <c r="I6" s="297"/>
      <c r="J6" s="74" t="s">
        <v>3</v>
      </c>
      <c r="K6" s="298" t="s">
        <v>109</v>
      </c>
      <c r="L6" s="297"/>
      <c r="M6" s="298" t="s">
        <v>110</v>
      </c>
      <c r="N6" s="299"/>
      <c r="O6" s="75" t="s">
        <v>51</v>
      </c>
      <c r="P6" s="76">
        <v>1833</v>
      </c>
    </row>
    <row r="7" spans="1:26" s="18" customFormat="1" ht="21.75" customHeight="1" x14ac:dyDescent="0.25">
      <c r="B7" s="300" t="s">
        <v>52</v>
      </c>
      <c r="C7" s="301" t="s">
        <v>53</v>
      </c>
      <c r="D7" s="271"/>
      <c r="E7" s="78"/>
      <c r="F7" s="302" t="s">
        <v>54</v>
      </c>
      <c r="G7" s="303"/>
      <c r="H7" s="303"/>
      <c r="I7" s="303"/>
      <c r="J7" s="304" t="s">
        <v>55</v>
      </c>
      <c r="K7" s="305"/>
      <c r="L7" s="305"/>
      <c r="M7" s="306"/>
      <c r="N7" s="307" t="s">
        <v>102</v>
      </c>
      <c r="O7" s="308"/>
      <c r="P7" s="79" t="s">
        <v>56</v>
      </c>
    </row>
    <row r="8" spans="1:26" s="18" customFormat="1" ht="21.75" customHeight="1" thickBot="1" x14ac:dyDescent="0.3">
      <c r="B8" s="245"/>
      <c r="C8" s="262" t="s">
        <v>57</v>
      </c>
      <c r="D8" s="261"/>
      <c r="E8" s="80" t="s">
        <v>4</v>
      </c>
      <c r="F8" s="272" t="s">
        <v>5</v>
      </c>
      <c r="G8" s="273"/>
      <c r="H8" s="273"/>
      <c r="I8" s="273"/>
      <c r="J8" s="274"/>
      <c r="K8" s="275"/>
      <c r="L8" s="275"/>
      <c r="M8" s="276"/>
      <c r="N8" s="277"/>
      <c r="O8" s="278"/>
      <c r="P8" s="81"/>
    </row>
    <row r="9" spans="1:26" s="18" customFormat="1" ht="21.75" customHeight="1" x14ac:dyDescent="0.25">
      <c r="B9" s="279" t="s">
        <v>6</v>
      </c>
      <c r="C9" s="282" t="s">
        <v>58</v>
      </c>
      <c r="D9" s="283" t="s">
        <v>59</v>
      </c>
      <c r="E9" s="268"/>
      <c r="F9" s="82"/>
      <c r="G9" s="284" t="s">
        <v>7</v>
      </c>
      <c r="H9" s="285" t="s">
        <v>8</v>
      </c>
      <c r="I9" s="271"/>
      <c r="J9" s="83"/>
      <c r="K9" s="282" t="s">
        <v>60</v>
      </c>
      <c r="L9" s="286" t="s">
        <v>103</v>
      </c>
      <c r="M9" s="287"/>
      <c r="N9" s="288"/>
      <c r="O9" s="288"/>
      <c r="P9" s="289"/>
    </row>
    <row r="10" spans="1:26" s="18" customFormat="1" ht="21.75" customHeight="1" thickBot="1" x14ac:dyDescent="0.3">
      <c r="B10" s="280"/>
      <c r="C10" s="225"/>
      <c r="D10" s="266" t="s">
        <v>61</v>
      </c>
      <c r="E10" s="261"/>
      <c r="F10" s="84" t="s">
        <v>4</v>
      </c>
      <c r="G10" s="225"/>
      <c r="H10" s="266" t="s">
        <v>9</v>
      </c>
      <c r="I10" s="261"/>
      <c r="J10" s="85" t="s">
        <v>4</v>
      </c>
      <c r="K10" s="225"/>
      <c r="L10" s="290"/>
      <c r="M10" s="291"/>
      <c r="N10" s="291"/>
      <c r="O10" s="291"/>
      <c r="P10" s="292"/>
    </row>
    <row r="11" spans="1:26" s="18" customFormat="1" ht="21.75" customHeight="1" x14ac:dyDescent="0.25">
      <c r="A11" s="16"/>
      <c r="B11" s="280"/>
      <c r="C11" s="267" t="s">
        <v>10</v>
      </c>
      <c r="D11" s="268"/>
      <c r="E11" s="86">
        <v>0.32291666666666669</v>
      </c>
      <c r="F11" s="269" t="s">
        <v>11</v>
      </c>
      <c r="G11" s="268"/>
      <c r="H11" s="87">
        <v>0.88</v>
      </c>
      <c r="I11" s="270" t="s">
        <v>12</v>
      </c>
      <c r="J11" s="271"/>
      <c r="K11" s="87">
        <v>11</v>
      </c>
      <c r="L11" s="267" t="s">
        <v>13</v>
      </c>
      <c r="M11" s="268"/>
      <c r="N11" s="88">
        <v>12</v>
      </c>
      <c r="O11" s="258" t="s">
        <v>62</v>
      </c>
      <c r="P11" s="259"/>
    </row>
    <row r="12" spans="1:26" s="18" customFormat="1" ht="21.75" customHeight="1" thickBot="1" x14ac:dyDescent="0.3">
      <c r="A12" s="16"/>
      <c r="B12" s="281"/>
      <c r="C12" s="260" t="s">
        <v>14</v>
      </c>
      <c r="D12" s="261"/>
      <c r="E12" s="86">
        <v>0.45069444444444445</v>
      </c>
      <c r="F12" s="262" t="s">
        <v>15</v>
      </c>
      <c r="G12" s="261"/>
      <c r="H12" s="87">
        <v>0.85</v>
      </c>
      <c r="I12" s="263" t="s">
        <v>16</v>
      </c>
      <c r="J12" s="261"/>
      <c r="K12" s="86">
        <v>0.34375</v>
      </c>
      <c r="L12" s="260" t="s">
        <v>17</v>
      </c>
      <c r="M12" s="261"/>
      <c r="N12" s="89">
        <v>1</v>
      </c>
      <c r="O12" s="264">
        <v>2.5</v>
      </c>
      <c r="P12" s="265"/>
    </row>
    <row r="13" spans="1:26" s="18" customFormat="1" ht="21.75" customHeight="1" x14ac:dyDescent="0.25">
      <c r="A13" s="16"/>
      <c r="B13" s="243" t="s">
        <v>18</v>
      </c>
      <c r="C13" s="246" t="s">
        <v>63</v>
      </c>
      <c r="D13" s="247"/>
      <c r="E13" s="247"/>
      <c r="F13" s="248" t="s">
        <v>64</v>
      </c>
      <c r="G13" s="247"/>
      <c r="H13" s="247"/>
      <c r="I13" s="247"/>
      <c r="J13" s="248" t="s">
        <v>65</v>
      </c>
      <c r="K13" s="247"/>
      <c r="L13" s="247"/>
      <c r="M13" s="247"/>
      <c r="N13" s="249" t="s">
        <v>66</v>
      </c>
      <c r="O13" s="247"/>
      <c r="P13" s="250"/>
      <c r="Q13" s="95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44"/>
      <c r="C14" s="251" t="s">
        <v>67</v>
      </c>
      <c r="D14" s="252"/>
      <c r="E14" s="252"/>
      <c r="F14" s="253" t="s">
        <v>68</v>
      </c>
      <c r="G14" s="252"/>
      <c r="H14" s="252"/>
      <c r="I14" s="252"/>
      <c r="J14" s="254" t="s">
        <v>69</v>
      </c>
      <c r="K14" s="252"/>
      <c r="L14" s="252"/>
      <c r="M14" s="252"/>
      <c r="N14" s="255"/>
      <c r="O14" s="240"/>
      <c r="P14" s="25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5"/>
      <c r="C15" s="257" t="s">
        <v>70</v>
      </c>
      <c r="D15" s="227"/>
      <c r="E15" s="227"/>
      <c r="F15" s="227" t="s">
        <v>71</v>
      </c>
      <c r="G15" s="228"/>
      <c r="H15" s="228"/>
      <c r="I15" s="228"/>
      <c r="J15" s="227" t="s">
        <v>72</v>
      </c>
      <c r="K15" s="228"/>
      <c r="L15" s="228"/>
      <c r="M15" s="228"/>
      <c r="N15" s="229"/>
      <c r="O15" s="230"/>
      <c r="P15" s="23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32" t="s">
        <v>19</v>
      </c>
      <c r="C16" s="234" t="s">
        <v>20</v>
      </c>
      <c r="D16" s="234" t="s">
        <v>40</v>
      </c>
      <c r="E16" s="236" t="s">
        <v>21</v>
      </c>
      <c r="F16" s="237" t="s">
        <v>41</v>
      </c>
      <c r="G16" s="238"/>
      <c r="H16" s="234" t="s">
        <v>73</v>
      </c>
      <c r="I16" s="24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33"/>
      <c r="C17" s="235"/>
      <c r="D17" s="235"/>
      <c r="E17" s="235"/>
      <c r="F17" s="239"/>
      <c r="G17" s="240"/>
      <c r="H17" s="235"/>
      <c r="I17" s="24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O12</f>
        <v>2.5</v>
      </c>
      <c r="D18" s="29">
        <v>6.5000000000000002E-2</v>
      </c>
      <c r="E18" s="30"/>
      <c r="F18" s="31"/>
      <c r="G18" s="92"/>
      <c r="H18" s="32"/>
      <c r="I18" s="33"/>
      <c r="J18" s="91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23">
        <v>1</v>
      </c>
      <c r="C19" s="226">
        <f>+C18+$N$12</f>
        <v>3.5</v>
      </c>
      <c r="D19" s="203">
        <v>0.38300000000000001</v>
      </c>
      <c r="E19" s="203">
        <v>0.379</v>
      </c>
      <c r="F19" s="36" t="s">
        <v>75</v>
      </c>
      <c r="G19" s="37">
        <v>0</v>
      </c>
      <c r="H19" s="38"/>
      <c r="I19" s="39"/>
      <c r="J19" s="40">
        <v>0.104</v>
      </c>
      <c r="K19" s="203">
        <f>+IF(E19&lt;=0.12,(J21),(IF(E19&lt;0.16,((J20+2*J21+J22)/4),IF(E19&gt;=0.16,((J19+3*J20+2*J21+3*J22+J23)/10)))))</f>
        <v>0.1502</v>
      </c>
      <c r="L19" s="203">
        <f>ROUND(+(D18+D19)/2*(C19-C18),3)</f>
        <v>0.224</v>
      </c>
      <c r="M19" s="203">
        <f>ROUND(+K19*L19,4)</f>
        <v>3.3599999999999998E-2</v>
      </c>
      <c r="N19" s="206">
        <f>ROUND(+M19/$M$98*100,2)</f>
        <v>0.64</v>
      </c>
      <c r="O19" s="207"/>
      <c r="P19" s="20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24"/>
      <c r="C20" s="204"/>
      <c r="D20" s="204"/>
      <c r="E20" s="204"/>
      <c r="F20" s="41" t="s">
        <v>76</v>
      </c>
      <c r="G20" s="42">
        <f>IF(E19&lt;0.125,"NA",IF(0.125&lt;=E19,(0.2*E19)))</f>
        <v>7.5800000000000006E-2</v>
      </c>
      <c r="H20" s="43"/>
      <c r="I20" s="44"/>
      <c r="J20" s="45">
        <v>0.108</v>
      </c>
      <c r="K20" s="204"/>
      <c r="L20" s="204"/>
      <c r="M20" s="204"/>
      <c r="N20" s="204"/>
      <c r="O20" s="204"/>
      <c r="P20" s="20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24"/>
      <c r="C21" s="204"/>
      <c r="D21" s="204"/>
      <c r="E21" s="204"/>
      <c r="F21" s="41" t="s">
        <v>77</v>
      </c>
      <c r="G21" s="42">
        <f>+E19*0.4</f>
        <v>0.15160000000000001</v>
      </c>
      <c r="H21" s="43"/>
      <c r="I21" s="44"/>
      <c r="J21" s="45">
        <v>0.11899999999999999</v>
      </c>
      <c r="K21" s="204"/>
      <c r="L21" s="204"/>
      <c r="M21" s="204"/>
      <c r="N21" s="204"/>
      <c r="O21" s="204"/>
      <c r="P21" s="20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24"/>
      <c r="C22" s="204"/>
      <c r="D22" s="204"/>
      <c r="E22" s="204"/>
      <c r="F22" s="41" t="s">
        <v>78</v>
      </c>
      <c r="G22" s="42">
        <f>IF(E19&lt;0.125,"NA",IF(0.125&lt;=E19,(0.8*E19)))</f>
        <v>0.30320000000000003</v>
      </c>
      <c r="H22" s="43"/>
      <c r="I22" s="44"/>
      <c r="J22" s="45">
        <v>0.20799999999999999</v>
      </c>
      <c r="K22" s="204"/>
      <c r="L22" s="204"/>
      <c r="M22" s="204"/>
      <c r="N22" s="204"/>
      <c r="O22" s="204"/>
      <c r="P22" s="20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5"/>
      <c r="C23" s="205"/>
      <c r="D23" s="205"/>
      <c r="E23" s="205"/>
      <c r="F23" s="46" t="s">
        <v>79</v>
      </c>
      <c r="G23" s="47">
        <f>+E19</f>
        <v>0.379</v>
      </c>
      <c r="H23" s="48"/>
      <c r="I23" s="49"/>
      <c r="J23" s="50">
        <v>0.21199999999999999</v>
      </c>
      <c r="K23" s="205"/>
      <c r="L23" s="205"/>
      <c r="M23" s="205"/>
      <c r="N23" s="205"/>
      <c r="O23" s="205"/>
      <c r="P23" s="21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23">
        <v>2</v>
      </c>
      <c r="C24" s="226">
        <f>+C19+$N$12</f>
        <v>4.5</v>
      </c>
      <c r="D24" s="203">
        <v>0.41899999999999998</v>
      </c>
      <c r="E24" s="203">
        <v>0.30499999999999999</v>
      </c>
      <c r="F24" s="36" t="s">
        <v>75</v>
      </c>
      <c r="G24" s="37">
        <v>0</v>
      </c>
      <c r="H24" s="38"/>
      <c r="I24" s="39"/>
      <c r="J24" s="40">
        <v>0.193</v>
      </c>
      <c r="K24" s="203">
        <f>+IF(E24&lt;=0.12,(J26),(IF(E24&lt;0.16,((J25+2*J26+J27)/4),IF(E24&gt;=0.16,((J24+3*J25+2*J26+3*J27+J28)/10)))))</f>
        <v>0.29869999999999997</v>
      </c>
      <c r="L24" s="203">
        <f>ROUND(+(D19+D24)/2*(C24-C19),3)</f>
        <v>0.40100000000000002</v>
      </c>
      <c r="M24" s="203">
        <f>ROUND(+K24*L24,4)</f>
        <v>0.1198</v>
      </c>
      <c r="N24" s="206">
        <f>ROUND(+M24/$M$98*100,2)</f>
        <v>2.27</v>
      </c>
      <c r="O24" s="207"/>
      <c r="P24" s="20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24"/>
      <c r="C25" s="204"/>
      <c r="D25" s="204"/>
      <c r="E25" s="204"/>
      <c r="F25" s="41" t="s">
        <v>76</v>
      </c>
      <c r="G25" s="42">
        <f>IF(E24&lt;0.125,"NA",IF(0.125&lt;=E24,(0.2*E24)))</f>
        <v>6.0999999999999999E-2</v>
      </c>
      <c r="H25" s="43"/>
      <c r="I25" s="44"/>
      <c r="J25" s="45">
        <v>0.27100000000000002</v>
      </c>
      <c r="K25" s="204"/>
      <c r="L25" s="204"/>
      <c r="M25" s="204"/>
      <c r="N25" s="204"/>
      <c r="O25" s="204"/>
      <c r="P25" s="20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24"/>
      <c r="C26" s="204"/>
      <c r="D26" s="204"/>
      <c r="E26" s="204"/>
      <c r="F26" s="41" t="s">
        <v>77</v>
      </c>
      <c r="G26" s="42">
        <f>+E24*0.4</f>
        <v>0.122</v>
      </c>
      <c r="H26" s="43"/>
      <c r="I26" s="44"/>
      <c r="J26" s="45">
        <v>0.28399999999999997</v>
      </c>
      <c r="K26" s="204"/>
      <c r="L26" s="204"/>
      <c r="M26" s="204"/>
      <c r="N26" s="204"/>
      <c r="O26" s="204"/>
      <c r="P26" s="20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24"/>
      <c r="C27" s="204"/>
      <c r="D27" s="204"/>
      <c r="E27" s="204"/>
      <c r="F27" s="41" t="s">
        <v>78</v>
      </c>
      <c r="G27" s="42">
        <f>IF(E24&lt;0.125,"NA",IF(0.125&lt;=E24,(0.8*E24)))</f>
        <v>0.24399999999999999</v>
      </c>
      <c r="H27" s="43"/>
      <c r="I27" s="44"/>
      <c r="J27" s="45">
        <v>0.35099999999999998</v>
      </c>
      <c r="K27" s="204"/>
      <c r="L27" s="204"/>
      <c r="M27" s="204"/>
      <c r="N27" s="204"/>
      <c r="O27" s="204"/>
      <c r="P27" s="20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5"/>
      <c r="C28" s="205"/>
      <c r="D28" s="205"/>
      <c r="E28" s="205"/>
      <c r="F28" s="46" t="s">
        <v>79</v>
      </c>
      <c r="G28" s="47">
        <f>+E24</f>
        <v>0.30499999999999999</v>
      </c>
      <c r="H28" s="48"/>
      <c r="I28" s="49"/>
      <c r="J28" s="50">
        <v>0.36</v>
      </c>
      <c r="K28" s="205"/>
      <c r="L28" s="205"/>
      <c r="M28" s="205"/>
      <c r="N28" s="205"/>
      <c r="O28" s="205"/>
      <c r="P28" s="21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23">
        <v>3</v>
      </c>
      <c r="C29" s="226">
        <f>+C24+$N$12</f>
        <v>5.5</v>
      </c>
      <c r="D29" s="203">
        <v>0.45500000000000002</v>
      </c>
      <c r="E29" s="203">
        <v>0.47699999999999998</v>
      </c>
      <c r="F29" s="36" t="s">
        <v>75</v>
      </c>
      <c r="G29" s="37">
        <v>0</v>
      </c>
      <c r="H29" s="38"/>
      <c r="I29" s="39"/>
      <c r="J29" s="40">
        <v>0.249</v>
      </c>
      <c r="K29" s="203">
        <f>+IF(E29&lt;=0.12,(J31),(IF(E29&lt;0.16,((J30+2*J31+J32)/4),IF(E29&gt;=0.16,((J29+3*J30+2*J31+3*J32+J33)/10)))))</f>
        <v>0.40700000000000003</v>
      </c>
      <c r="L29" s="203">
        <f>ROUND(+(D24+D29)/2*(C29-C24),3)</f>
        <v>0.437</v>
      </c>
      <c r="M29" s="203">
        <f>ROUND(+K29*L29,4)</f>
        <v>0.1779</v>
      </c>
      <c r="N29" s="206">
        <f>ROUND(+M29/$M$98*100,2)</f>
        <v>3.38</v>
      </c>
      <c r="O29" s="207"/>
      <c r="P29" s="208"/>
      <c r="Q29" s="27"/>
      <c r="R29" s="93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24"/>
      <c r="C30" s="204"/>
      <c r="D30" s="204"/>
      <c r="E30" s="204"/>
      <c r="F30" s="41" t="s">
        <v>76</v>
      </c>
      <c r="G30" s="42">
        <f>IF(E29&lt;0.125,"NA",IF(0.125&lt;=E29,(0.2*E29)))</f>
        <v>9.5399999999999999E-2</v>
      </c>
      <c r="H30" s="43"/>
      <c r="I30" s="44"/>
      <c r="J30" s="45">
        <v>0.33399999999999996</v>
      </c>
      <c r="K30" s="204"/>
      <c r="L30" s="204"/>
      <c r="M30" s="204"/>
      <c r="N30" s="204"/>
      <c r="O30" s="204"/>
      <c r="P30" s="209"/>
      <c r="Q30" s="27"/>
      <c r="R30" s="93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24"/>
      <c r="C31" s="204"/>
      <c r="D31" s="204"/>
      <c r="E31" s="204"/>
      <c r="F31" s="41" t="s">
        <v>77</v>
      </c>
      <c r="G31" s="42">
        <f>+E29*0.4</f>
        <v>0.1908</v>
      </c>
      <c r="H31" s="43"/>
      <c r="I31" s="44"/>
      <c r="J31" s="45">
        <v>0.36</v>
      </c>
      <c r="K31" s="204"/>
      <c r="L31" s="204"/>
      <c r="M31" s="204"/>
      <c r="N31" s="204"/>
      <c r="O31" s="204"/>
      <c r="P31" s="209"/>
      <c r="Q31" s="27"/>
      <c r="R31" s="93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24"/>
      <c r="C32" s="204"/>
      <c r="D32" s="204"/>
      <c r="E32" s="204"/>
      <c r="F32" s="41" t="s">
        <v>78</v>
      </c>
      <c r="G32" s="42">
        <f>IF(E29&lt;0.125,"NA",IF(0.125&lt;=E29,(0.8*E29)))</f>
        <v>0.38159999999999999</v>
      </c>
      <c r="H32" s="43"/>
      <c r="I32" s="44"/>
      <c r="J32" s="45">
        <v>0.52600000000000002</v>
      </c>
      <c r="K32" s="204"/>
      <c r="L32" s="204"/>
      <c r="M32" s="204"/>
      <c r="N32" s="204"/>
      <c r="O32" s="204"/>
      <c r="P32" s="209"/>
      <c r="Q32" s="27"/>
      <c r="R32" s="93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5"/>
      <c r="C33" s="205"/>
      <c r="D33" s="205"/>
      <c r="E33" s="205"/>
      <c r="F33" s="46" t="s">
        <v>79</v>
      </c>
      <c r="G33" s="47">
        <f>+E29</f>
        <v>0.47699999999999998</v>
      </c>
      <c r="H33" s="48"/>
      <c r="I33" s="49"/>
      <c r="J33" s="50">
        <v>0.52100000000000002</v>
      </c>
      <c r="K33" s="205"/>
      <c r="L33" s="205"/>
      <c r="M33" s="205"/>
      <c r="N33" s="205"/>
      <c r="O33" s="205"/>
      <c r="P33" s="210"/>
      <c r="Q33" s="27"/>
      <c r="R33" s="93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23">
        <v>4</v>
      </c>
      <c r="C34" s="226">
        <f>+C29+$N$12</f>
        <v>6.5</v>
      </c>
      <c r="D34" s="203">
        <v>0.41499999999999998</v>
      </c>
      <c r="E34" s="203">
        <v>0.28100000000000003</v>
      </c>
      <c r="F34" s="36" t="s">
        <v>75</v>
      </c>
      <c r="G34" s="37">
        <v>0</v>
      </c>
      <c r="H34" s="38"/>
      <c r="I34" s="39"/>
      <c r="J34" s="40">
        <v>0.36</v>
      </c>
      <c r="K34" s="203">
        <f>+IF(E34&lt;=0.12,(J36),(IF(E34&lt;0.16,((J35+2*J36+J37)/4),IF(E34&gt;=0.16,((J34+3*J35+2*J36+3*J37+J38)/10)))))</f>
        <v>0.47349999999999992</v>
      </c>
      <c r="L34" s="203">
        <f>ROUND(+(D29+D34)/2*(C34-C29),3)</f>
        <v>0.435</v>
      </c>
      <c r="M34" s="203">
        <f>ROUND(+K34*L34,4)</f>
        <v>0.20599999999999999</v>
      </c>
      <c r="N34" s="206">
        <f>ROUND(+M34/$M$98*100,2)</f>
        <v>3.91</v>
      </c>
      <c r="O34" s="207"/>
      <c r="P34" s="208"/>
      <c r="Q34" s="27"/>
      <c r="R34" s="93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24"/>
      <c r="C35" s="204"/>
      <c r="D35" s="204"/>
      <c r="E35" s="204"/>
      <c r="F35" s="41" t="s">
        <v>76</v>
      </c>
      <c r="G35" s="42">
        <f>IF(E34&lt;0.125,"NA",IF(0.125&lt;=E34,(0.2*E34)))</f>
        <v>5.6200000000000007E-2</v>
      </c>
      <c r="H35" s="43"/>
      <c r="I35" s="44"/>
      <c r="J35" s="45">
        <v>0.438</v>
      </c>
      <c r="K35" s="204"/>
      <c r="L35" s="204"/>
      <c r="M35" s="204"/>
      <c r="N35" s="204"/>
      <c r="O35" s="204"/>
      <c r="P35" s="209"/>
      <c r="Q35" s="27"/>
      <c r="R35" s="93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24"/>
      <c r="C36" s="204"/>
      <c r="D36" s="204"/>
      <c r="E36" s="204"/>
      <c r="F36" s="41" t="s">
        <v>77</v>
      </c>
      <c r="G36" s="42">
        <f>+E34*0.4</f>
        <v>0.11240000000000001</v>
      </c>
      <c r="H36" s="43"/>
      <c r="I36" s="44"/>
      <c r="J36" s="45">
        <v>0.44400000000000001</v>
      </c>
      <c r="K36" s="204"/>
      <c r="L36" s="204"/>
      <c r="M36" s="204"/>
      <c r="N36" s="204"/>
      <c r="O36" s="204"/>
      <c r="P36" s="209"/>
      <c r="Q36" s="27"/>
      <c r="R36" s="93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24"/>
      <c r="C37" s="204"/>
      <c r="D37" s="204"/>
      <c r="E37" s="204"/>
      <c r="F37" s="41" t="s">
        <v>78</v>
      </c>
      <c r="G37" s="42">
        <f>IF(E34&lt;0.125,"NA",IF(0.125&lt;=E34,(0.8*E34)))</f>
        <v>0.22480000000000003</v>
      </c>
      <c r="H37" s="43"/>
      <c r="I37" s="44"/>
      <c r="J37" s="45">
        <v>0.52600000000000002</v>
      </c>
      <c r="K37" s="204"/>
      <c r="L37" s="204"/>
      <c r="M37" s="204"/>
      <c r="N37" s="204"/>
      <c r="O37" s="204"/>
      <c r="P37" s="209"/>
      <c r="Q37" s="27"/>
      <c r="R37" s="93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5"/>
      <c r="C38" s="205"/>
      <c r="D38" s="205"/>
      <c r="E38" s="205"/>
      <c r="F38" s="46" t="s">
        <v>79</v>
      </c>
      <c r="G38" s="47">
        <f>+E34</f>
        <v>0.28100000000000003</v>
      </c>
      <c r="H38" s="48"/>
      <c r="I38" s="49"/>
      <c r="J38" s="50">
        <v>0.59500000000000008</v>
      </c>
      <c r="K38" s="205"/>
      <c r="L38" s="205"/>
      <c r="M38" s="205"/>
      <c r="N38" s="205"/>
      <c r="O38" s="205"/>
      <c r="P38" s="210"/>
      <c r="Q38" s="27"/>
      <c r="R38" s="93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23">
        <v>5</v>
      </c>
      <c r="C39" s="226">
        <f>+C34+$N$12</f>
        <v>7.5</v>
      </c>
      <c r="D39" s="203">
        <v>0.49199999999999999</v>
      </c>
      <c r="E39" s="203">
        <v>0.45200000000000001</v>
      </c>
      <c r="F39" s="36" t="s">
        <v>75</v>
      </c>
      <c r="G39" s="37">
        <v>0</v>
      </c>
      <c r="H39" s="38"/>
      <c r="I39" s="39"/>
      <c r="J39" s="40">
        <v>0.43</v>
      </c>
      <c r="K39" s="203">
        <f>+IF(E39&lt;=0.12,(J41),(IF(E39&lt;0.16,((J40+2*J41+J42)/4),IF(E39&gt;=0.16,((J39+3*J40+2*J41+3*J42+J43)/10)))))</f>
        <v>0.57669999999999999</v>
      </c>
      <c r="L39" s="203">
        <f>ROUND(+(D34+D39)/2*(C39-C34),3)</f>
        <v>0.45400000000000001</v>
      </c>
      <c r="M39" s="203">
        <f>ROUND(+K39*L39,4)</f>
        <v>0.26179999999999998</v>
      </c>
      <c r="N39" s="206">
        <f>ROUND(+M39/$M$98*100,2)</f>
        <v>4.97</v>
      </c>
      <c r="O39" s="207"/>
      <c r="P39" s="208"/>
      <c r="Q39" s="27"/>
      <c r="R39" s="93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24"/>
      <c r="C40" s="204"/>
      <c r="D40" s="204"/>
      <c r="E40" s="204"/>
      <c r="F40" s="41" t="s">
        <v>76</v>
      </c>
      <c r="G40" s="42">
        <f>IF(E39&lt;0.125,"NA",IF(0.125&lt;=E39,(0.2*E39)))</f>
        <v>9.0400000000000008E-2</v>
      </c>
      <c r="H40" s="43"/>
      <c r="I40" s="44"/>
      <c r="J40" s="45">
        <v>0.55900000000000005</v>
      </c>
      <c r="K40" s="204"/>
      <c r="L40" s="204"/>
      <c r="M40" s="204"/>
      <c r="N40" s="204"/>
      <c r="O40" s="204"/>
      <c r="P40" s="209"/>
      <c r="Q40" s="27"/>
      <c r="R40" s="93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24"/>
      <c r="C41" s="204"/>
      <c r="D41" s="204"/>
      <c r="E41" s="204"/>
      <c r="F41" s="41" t="s">
        <v>77</v>
      </c>
      <c r="G41" s="42">
        <f>+E39*0.4</f>
        <v>0.18080000000000002</v>
      </c>
      <c r="H41" s="43"/>
      <c r="I41" s="44"/>
      <c r="J41" s="45">
        <v>0.56000000000000005</v>
      </c>
      <c r="K41" s="204"/>
      <c r="L41" s="204"/>
      <c r="M41" s="204"/>
      <c r="N41" s="204"/>
      <c r="O41" s="204"/>
      <c r="P41" s="209"/>
      <c r="Q41" s="27"/>
      <c r="R41" s="93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24"/>
      <c r="C42" s="204"/>
      <c r="D42" s="204"/>
      <c r="E42" s="204"/>
      <c r="F42" s="41" t="s">
        <v>78</v>
      </c>
      <c r="G42" s="42">
        <f>IF(E39&lt;0.125,"NA",IF(0.125&lt;=E39,(0.8*E39)))</f>
        <v>0.36160000000000003</v>
      </c>
      <c r="H42" s="43"/>
      <c r="I42" s="44"/>
      <c r="J42" s="45">
        <v>0.64100000000000001</v>
      </c>
      <c r="K42" s="204"/>
      <c r="L42" s="204"/>
      <c r="M42" s="204"/>
      <c r="N42" s="204"/>
      <c r="O42" s="204"/>
      <c r="P42" s="209"/>
      <c r="Q42" s="27"/>
      <c r="R42" s="93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5"/>
      <c r="C43" s="205"/>
      <c r="D43" s="205"/>
      <c r="E43" s="205"/>
      <c r="F43" s="46" t="s">
        <v>79</v>
      </c>
      <c r="G43" s="47">
        <f>+E39</f>
        <v>0.45200000000000001</v>
      </c>
      <c r="H43" s="48"/>
      <c r="I43" s="49"/>
      <c r="J43" s="50">
        <v>0.61699999999999999</v>
      </c>
      <c r="K43" s="205"/>
      <c r="L43" s="205"/>
      <c r="M43" s="205"/>
      <c r="N43" s="205"/>
      <c r="O43" s="205"/>
      <c r="P43" s="210"/>
      <c r="Q43" s="27"/>
      <c r="R43" s="93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23">
        <v>6</v>
      </c>
      <c r="C44" s="226">
        <f>+C39+$N$12</f>
        <v>8.5</v>
      </c>
      <c r="D44" s="203">
        <v>0.77900000000000003</v>
      </c>
      <c r="E44" s="203">
        <v>0.439</v>
      </c>
      <c r="F44" s="36" t="s">
        <v>75</v>
      </c>
      <c r="G44" s="37">
        <v>0</v>
      </c>
      <c r="H44" s="38"/>
      <c r="I44" s="39"/>
      <c r="J44" s="40">
        <v>0.35799999999999998</v>
      </c>
      <c r="K44" s="203">
        <f>+IF(E44&lt;=0.12,(J46),(IF(E44&lt;0.16,((J45+2*J46+J47)/4),IF(E44&gt;=0.16,((J44+3*J45+2*J46+3*J47+J48)/10)))))</f>
        <v>0.63500000000000012</v>
      </c>
      <c r="L44" s="203">
        <f>ROUND(+(D39+D44)/2*(C44-C39),3)</f>
        <v>0.63600000000000001</v>
      </c>
      <c r="M44" s="203">
        <f>ROUND(+K44*L44,4)</f>
        <v>0.40389999999999998</v>
      </c>
      <c r="N44" s="206">
        <f>ROUND(+M44/$M$98*100,2)</f>
        <v>7.66</v>
      </c>
      <c r="O44" s="207"/>
      <c r="P44" s="208"/>
      <c r="Q44" s="27"/>
      <c r="R44" s="93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24"/>
      <c r="C45" s="204"/>
      <c r="D45" s="204"/>
      <c r="E45" s="204"/>
      <c r="F45" s="41" t="s">
        <v>76</v>
      </c>
      <c r="G45" s="42">
        <f>IF(E44&lt;0.125,"NA",IF(0.125&lt;=E44,(0.2*E44)))</f>
        <v>8.7800000000000003E-2</v>
      </c>
      <c r="H45" s="43"/>
      <c r="I45" s="44"/>
      <c r="J45" s="45">
        <v>0.628</v>
      </c>
      <c r="K45" s="204"/>
      <c r="L45" s="204"/>
      <c r="M45" s="204"/>
      <c r="N45" s="204"/>
      <c r="O45" s="204"/>
      <c r="P45" s="209"/>
      <c r="Q45" s="27"/>
      <c r="R45" s="93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24"/>
      <c r="C46" s="204"/>
      <c r="D46" s="204"/>
      <c r="E46" s="204"/>
      <c r="F46" s="41" t="s">
        <v>77</v>
      </c>
      <c r="G46" s="42">
        <f>+E44*0.4</f>
        <v>0.17560000000000001</v>
      </c>
      <c r="H46" s="43"/>
      <c r="I46" s="44"/>
      <c r="J46" s="45">
        <v>0.624</v>
      </c>
      <c r="K46" s="204"/>
      <c r="L46" s="204"/>
      <c r="M46" s="204"/>
      <c r="N46" s="204"/>
      <c r="O46" s="204"/>
      <c r="P46" s="209"/>
      <c r="Q46" s="27"/>
      <c r="R46" s="93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24"/>
      <c r="C47" s="204"/>
      <c r="D47" s="204"/>
      <c r="E47" s="204"/>
      <c r="F47" s="41" t="s">
        <v>78</v>
      </c>
      <c r="G47" s="42">
        <f>IF(E44&lt;0.125,"NA",IF(0.125&lt;=E44,(0.8*E44)))</f>
        <v>0.35120000000000001</v>
      </c>
      <c r="H47" s="43"/>
      <c r="I47" s="44"/>
      <c r="J47" s="45">
        <v>0.70900000000000007</v>
      </c>
      <c r="K47" s="204"/>
      <c r="L47" s="204"/>
      <c r="M47" s="204"/>
      <c r="N47" s="204"/>
      <c r="O47" s="204"/>
      <c r="P47" s="209"/>
      <c r="Q47" s="27"/>
      <c r="R47" s="93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5"/>
      <c r="C48" s="205"/>
      <c r="D48" s="205"/>
      <c r="E48" s="205"/>
      <c r="F48" s="46" t="s">
        <v>79</v>
      </c>
      <c r="G48" s="47">
        <f>+E44</f>
        <v>0.439</v>
      </c>
      <c r="H48" s="48"/>
      <c r="I48" s="49"/>
      <c r="J48" s="50">
        <v>0.7330000000000001</v>
      </c>
      <c r="K48" s="205"/>
      <c r="L48" s="205"/>
      <c r="M48" s="205"/>
      <c r="N48" s="205"/>
      <c r="O48" s="205"/>
      <c r="P48" s="210"/>
      <c r="Q48" s="27"/>
      <c r="R48" s="93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23">
        <v>7</v>
      </c>
      <c r="C49" s="226">
        <f>+C44+$N$12</f>
        <v>9.5</v>
      </c>
      <c r="D49" s="203">
        <v>1.218</v>
      </c>
      <c r="E49" s="203">
        <v>0.90500000000000003</v>
      </c>
      <c r="F49" s="36" t="s">
        <v>75</v>
      </c>
      <c r="G49" s="37">
        <v>0</v>
      </c>
      <c r="H49" s="38"/>
      <c r="I49" s="39"/>
      <c r="J49" s="40">
        <v>0.51100000000000001</v>
      </c>
      <c r="K49" s="203">
        <f>+IF(E49&lt;=0.12,(J51),(IF(E49&lt;0.16,((J50+2*J51+J52)/4),IF(E49&gt;=0.16,((J49+3*J50+2*J51+3*J52+J53)/10)))))</f>
        <v>0.7762</v>
      </c>
      <c r="L49" s="203">
        <f>ROUND(+(D44+D49)/2*(C49-C44),3)</f>
        <v>0.999</v>
      </c>
      <c r="M49" s="203">
        <f>ROUND(+K49*L49,4)</f>
        <v>0.77539999999999998</v>
      </c>
      <c r="N49" s="206">
        <f>ROUND(+M49/$M$98*100,2)</f>
        <v>14.71</v>
      </c>
      <c r="O49" s="207"/>
      <c r="P49" s="208"/>
      <c r="Q49" s="27"/>
      <c r="R49" s="93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24"/>
      <c r="C50" s="204"/>
      <c r="D50" s="204"/>
      <c r="E50" s="204"/>
      <c r="F50" s="41" t="s">
        <v>76</v>
      </c>
      <c r="G50" s="42">
        <f>IF(E49&lt;0.125,"NA",IF(0.125&lt;=E49,(0.2*E49)))</f>
        <v>0.18100000000000002</v>
      </c>
      <c r="H50" s="43"/>
      <c r="I50" s="44"/>
      <c r="J50" s="45">
        <v>0.65</v>
      </c>
      <c r="K50" s="204"/>
      <c r="L50" s="204"/>
      <c r="M50" s="204"/>
      <c r="N50" s="204"/>
      <c r="O50" s="204"/>
      <c r="P50" s="209"/>
      <c r="Q50" s="27"/>
      <c r="R50" s="93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24"/>
      <c r="C51" s="204"/>
      <c r="D51" s="204"/>
      <c r="E51" s="204"/>
      <c r="F51" s="41" t="s">
        <v>77</v>
      </c>
      <c r="G51" s="42">
        <f>+E49*0.4</f>
        <v>0.36200000000000004</v>
      </c>
      <c r="H51" s="43"/>
      <c r="I51" s="44"/>
      <c r="J51" s="45">
        <v>0.78400000000000003</v>
      </c>
      <c r="K51" s="204"/>
      <c r="L51" s="204"/>
      <c r="M51" s="204"/>
      <c r="N51" s="204"/>
      <c r="O51" s="204"/>
      <c r="P51" s="209"/>
      <c r="Q51" s="27"/>
      <c r="R51" s="93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24"/>
      <c r="C52" s="204"/>
      <c r="D52" s="204"/>
      <c r="E52" s="204"/>
      <c r="F52" s="41" t="s">
        <v>78</v>
      </c>
      <c r="G52" s="42">
        <f>IF(E49&lt;0.125,"NA",IF(0.125&lt;=E49,(0.8*E49)))</f>
        <v>0.72400000000000009</v>
      </c>
      <c r="H52" s="43"/>
      <c r="I52" s="44"/>
      <c r="J52" s="45">
        <v>0.93100000000000005</v>
      </c>
      <c r="K52" s="204"/>
      <c r="L52" s="204"/>
      <c r="M52" s="204"/>
      <c r="N52" s="204"/>
      <c r="O52" s="204"/>
      <c r="P52" s="209"/>
      <c r="Q52" s="27"/>
      <c r="R52" s="93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5"/>
      <c r="C53" s="205"/>
      <c r="D53" s="205"/>
      <c r="E53" s="205"/>
      <c r="F53" s="46" t="s">
        <v>79</v>
      </c>
      <c r="G53" s="47">
        <f>+E49</f>
        <v>0.90500000000000003</v>
      </c>
      <c r="H53" s="48"/>
      <c r="I53" s="49"/>
      <c r="J53" s="50">
        <v>0.94000000000000006</v>
      </c>
      <c r="K53" s="205"/>
      <c r="L53" s="205"/>
      <c r="M53" s="205"/>
      <c r="N53" s="205"/>
      <c r="O53" s="205"/>
      <c r="P53" s="210"/>
      <c r="Q53" s="27"/>
      <c r="R53" s="93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23">
        <v>8</v>
      </c>
      <c r="C54" s="226">
        <f>+C49+$N$12</f>
        <v>10.5</v>
      </c>
      <c r="D54" s="203">
        <v>1.179</v>
      </c>
      <c r="E54" s="203">
        <v>1.1830000000000001</v>
      </c>
      <c r="F54" s="36" t="s">
        <v>75</v>
      </c>
      <c r="G54" s="37">
        <v>0</v>
      </c>
      <c r="H54" s="38"/>
      <c r="I54" s="39"/>
      <c r="J54" s="40"/>
      <c r="K54" s="203"/>
      <c r="L54" s="203"/>
      <c r="M54" s="203"/>
      <c r="N54" s="206"/>
      <c r="O54" s="207"/>
      <c r="P54" s="208"/>
      <c r="Q54" s="27"/>
      <c r="R54" s="93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24"/>
      <c r="C55" s="204"/>
      <c r="D55" s="204"/>
      <c r="E55" s="204"/>
      <c r="F55" s="41" t="s">
        <v>76</v>
      </c>
      <c r="G55" s="42">
        <f>IF(E54&lt;0.125,"NA",IF(0.125&lt;=E54,(0.2*E54)))</f>
        <v>0.23660000000000003</v>
      </c>
      <c r="H55" s="43"/>
      <c r="I55" s="44"/>
      <c r="J55" s="45"/>
      <c r="K55" s="204"/>
      <c r="L55" s="204"/>
      <c r="M55" s="204"/>
      <c r="N55" s="204"/>
      <c r="O55" s="204"/>
      <c r="P55" s="209"/>
      <c r="Q55" s="27"/>
      <c r="R55" s="93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24"/>
      <c r="C56" s="204"/>
      <c r="D56" s="204"/>
      <c r="E56" s="204"/>
      <c r="F56" s="41" t="s">
        <v>77</v>
      </c>
      <c r="G56" s="42">
        <f>+E54*0.4</f>
        <v>0.47320000000000007</v>
      </c>
      <c r="H56" s="43"/>
      <c r="I56" s="44"/>
      <c r="J56" s="45"/>
      <c r="K56" s="204"/>
      <c r="L56" s="204"/>
      <c r="M56" s="204"/>
      <c r="N56" s="204"/>
      <c r="O56" s="204"/>
      <c r="P56" s="209"/>
      <c r="Q56" s="27"/>
      <c r="R56" s="93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24"/>
      <c r="C57" s="204"/>
      <c r="D57" s="204"/>
      <c r="E57" s="204"/>
      <c r="F57" s="41" t="s">
        <v>78</v>
      </c>
      <c r="G57" s="42">
        <f>IF(E54&lt;0.125,"NA",IF(0.125&lt;=E54,(0.8*E54)))</f>
        <v>0.94640000000000013</v>
      </c>
      <c r="H57" s="43"/>
      <c r="I57" s="44"/>
      <c r="J57" s="45"/>
      <c r="K57" s="204"/>
      <c r="L57" s="204"/>
      <c r="M57" s="204"/>
      <c r="N57" s="204"/>
      <c r="O57" s="204"/>
      <c r="P57" s="209"/>
      <c r="Q57" s="27"/>
      <c r="R57" s="93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5"/>
      <c r="C58" s="205"/>
      <c r="D58" s="205"/>
      <c r="E58" s="205"/>
      <c r="F58" s="46" t="s">
        <v>79</v>
      </c>
      <c r="G58" s="47">
        <f>+E54</f>
        <v>1.1830000000000001</v>
      </c>
      <c r="H58" s="48"/>
      <c r="I58" s="49"/>
      <c r="J58" s="50"/>
      <c r="K58" s="205"/>
      <c r="L58" s="205"/>
      <c r="M58" s="205"/>
      <c r="N58" s="205"/>
      <c r="O58" s="205"/>
      <c r="P58" s="210"/>
      <c r="Q58" s="27"/>
      <c r="R58" s="93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23">
        <v>9</v>
      </c>
      <c r="C59" s="226">
        <f>+C54+$N$12</f>
        <v>11.5</v>
      </c>
      <c r="D59" s="203">
        <v>1.1100000000000001</v>
      </c>
      <c r="E59" s="203">
        <v>1.099</v>
      </c>
      <c r="F59" s="36" t="s">
        <v>75</v>
      </c>
      <c r="G59" s="37">
        <v>0</v>
      </c>
      <c r="H59" s="38"/>
      <c r="I59" s="39"/>
      <c r="J59" s="40">
        <v>0.52300000000000002</v>
      </c>
      <c r="K59" s="203">
        <f>+IF(E59&lt;=0.12,(J61),(IF(E59&lt;0.16,((J60+2*J61+J62)/4),IF(E59&gt;=0.16,((J59+3*J60+2*J61+3*J62+J63)/10)))))</f>
        <v>0.91989999999999994</v>
      </c>
      <c r="L59" s="203">
        <f>ROUND(+(D54+D59)/2*(C59-C54),3)</f>
        <v>1.145</v>
      </c>
      <c r="M59" s="203">
        <f>ROUND(+K59*L59,4)</f>
        <v>1.0532999999999999</v>
      </c>
      <c r="N59" s="206">
        <f>ROUND(+M59/$M$98*100,2)</f>
        <v>19.989999999999998</v>
      </c>
      <c r="O59" s="207"/>
      <c r="P59" s="208"/>
      <c r="Q59" s="27"/>
      <c r="R59" s="93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24"/>
      <c r="C60" s="204"/>
      <c r="D60" s="204"/>
      <c r="E60" s="204"/>
      <c r="F60" s="41" t="s">
        <v>76</v>
      </c>
      <c r="G60" s="42">
        <f>IF(E59&lt;0.125,"NA",IF(0.125&lt;=E59,(0.2*E59)))</f>
        <v>0.2198</v>
      </c>
      <c r="H60" s="43"/>
      <c r="I60" s="44"/>
      <c r="J60" s="45">
        <v>0.91400000000000003</v>
      </c>
      <c r="K60" s="204"/>
      <c r="L60" s="204"/>
      <c r="M60" s="204"/>
      <c r="N60" s="204"/>
      <c r="O60" s="204"/>
      <c r="P60" s="209"/>
      <c r="Q60" s="27"/>
      <c r="R60" s="93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24"/>
      <c r="C61" s="204"/>
      <c r="D61" s="204"/>
      <c r="E61" s="204"/>
      <c r="F61" s="41" t="s">
        <v>77</v>
      </c>
      <c r="G61" s="42">
        <f>+E59*0.4</f>
        <v>0.43959999999999999</v>
      </c>
      <c r="H61" s="43"/>
      <c r="I61" s="44"/>
      <c r="J61" s="45">
        <v>0.97300000000000009</v>
      </c>
      <c r="K61" s="204"/>
      <c r="L61" s="204"/>
      <c r="M61" s="204"/>
      <c r="N61" s="204"/>
      <c r="O61" s="204"/>
      <c r="P61" s="209"/>
      <c r="Q61" s="27"/>
      <c r="R61" s="93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24"/>
      <c r="C62" s="204"/>
      <c r="D62" s="204"/>
      <c r="E62" s="204"/>
      <c r="F62" s="41" t="s">
        <v>78</v>
      </c>
      <c r="G62" s="42">
        <f>IF(E59&lt;0.125,"NA",IF(0.125&lt;=E59,(0.8*E59)))</f>
        <v>0.87919999999999998</v>
      </c>
      <c r="H62" s="43"/>
      <c r="I62" s="44"/>
      <c r="J62" s="45">
        <v>1</v>
      </c>
      <c r="K62" s="204"/>
      <c r="L62" s="204"/>
      <c r="M62" s="204"/>
      <c r="N62" s="204"/>
      <c r="O62" s="204"/>
      <c r="P62" s="209"/>
      <c r="Q62" s="27"/>
      <c r="R62" s="93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5"/>
      <c r="C63" s="205"/>
      <c r="D63" s="205"/>
      <c r="E63" s="205"/>
      <c r="F63" s="46" t="s">
        <v>79</v>
      </c>
      <c r="G63" s="47">
        <f>+E59</f>
        <v>1.099</v>
      </c>
      <c r="H63" s="48"/>
      <c r="I63" s="49"/>
      <c r="J63" s="50">
        <v>0.98799999999999999</v>
      </c>
      <c r="K63" s="205"/>
      <c r="L63" s="205"/>
      <c r="M63" s="205"/>
      <c r="N63" s="205"/>
      <c r="O63" s="205"/>
      <c r="P63" s="210"/>
      <c r="Q63" s="27"/>
      <c r="R63" s="93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23">
        <v>10</v>
      </c>
      <c r="C64" s="226">
        <f>+C59+$N$12</f>
        <v>12.5</v>
      </c>
      <c r="D64" s="203">
        <v>0.84</v>
      </c>
      <c r="E64" s="203">
        <v>1.103</v>
      </c>
      <c r="F64" s="36" t="s">
        <v>75</v>
      </c>
      <c r="G64" s="37">
        <v>0</v>
      </c>
      <c r="H64" s="38"/>
      <c r="I64" s="39"/>
      <c r="J64" s="40">
        <v>0.434</v>
      </c>
      <c r="K64" s="203">
        <f>+IF(E64&lt;=0.12,(J66),(IF(E64&lt;0.16,((J65+2*J66+J67)/4),IF(E64&gt;=0.16,((J64+3*J65+2*J66+3*J67+J68)/10)))))</f>
        <v>0.8093300000000001</v>
      </c>
      <c r="L64" s="203">
        <f>ROUND(+(D59+D64)/2*(C64-C59),3)</f>
        <v>0.97499999999999998</v>
      </c>
      <c r="M64" s="203">
        <f>ROUND(+K64*L64,4)</f>
        <v>0.78910000000000002</v>
      </c>
      <c r="N64" s="206">
        <f>ROUND(+M64/$M$98*100,2)</f>
        <v>14.97</v>
      </c>
      <c r="O64" s="207"/>
      <c r="P64" s="208"/>
      <c r="Q64" s="27"/>
      <c r="R64" s="93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24"/>
      <c r="C65" s="204"/>
      <c r="D65" s="204"/>
      <c r="E65" s="204"/>
      <c r="F65" s="41" t="s">
        <v>76</v>
      </c>
      <c r="G65" s="42">
        <f>IF(E64&lt;0.125,"NA",IF(0.125&lt;=E64,(0.2*E64)))</f>
        <v>0.22060000000000002</v>
      </c>
      <c r="H65" s="43"/>
      <c r="I65" s="44"/>
      <c r="J65" s="45">
        <v>0.78790000000000004</v>
      </c>
      <c r="K65" s="204"/>
      <c r="L65" s="204"/>
      <c r="M65" s="204"/>
      <c r="N65" s="204"/>
      <c r="O65" s="204"/>
      <c r="P65" s="209"/>
      <c r="Q65" s="27"/>
      <c r="R65" s="93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24"/>
      <c r="C66" s="204"/>
      <c r="D66" s="204"/>
      <c r="E66" s="204"/>
      <c r="F66" s="41" t="s">
        <v>77</v>
      </c>
      <c r="G66" s="42">
        <f>+E64*0.4</f>
        <v>0.44120000000000004</v>
      </c>
      <c r="H66" s="43"/>
      <c r="I66" s="44"/>
      <c r="J66" s="45">
        <v>0.86519999999999997</v>
      </c>
      <c r="K66" s="204"/>
      <c r="L66" s="204"/>
      <c r="M66" s="204"/>
      <c r="N66" s="204"/>
      <c r="O66" s="204"/>
      <c r="P66" s="209"/>
      <c r="Q66" s="27"/>
      <c r="R66" s="93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24"/>
      <c r="C67" s="204"/>
      <c r="D67" s="204"/>
      <c r="E67" s="204"/>
      <c r="F67" s="41" t="s">
        <v>78</v>
      </c>
      <c r="G67" s="42">
        <f>IF(E64&lt;0.125,"NA",IF(0.125&lt;=E64,(0.8*E64)))</f>
        <v>0.88240000000000007</v>
      </c>
      <c r="H67" s="43"/>
      <c r="I67" s="44"/>
      <c r="J67" s="45">
        <v>0.88840000000000008</v>
      </c>
      <c r="K67" s="204"/>
      <c r="L67" s="204"/>
      <c r="M67" s="204"/>
      <c r="N67" s="204"/>
      <c r="O67" s="204"/>
      <c r="P67" s="209"/>
      <c r="Q67" s="27"/>
      <c r="R67" s="93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5"/>
      <c r="C68" s="205"/>
      <c r="D68" s="205"/>
      <c r="E68" s="205"/>
      <c r="F68" s="46" t="s">
        <v>79</v>
      </c>
      <c r="G68" s="47">
        <f>+E64</f>
        <v>1.103</v>
      </c>
      <c r="H68" s="48"/>
      <c r="I68" s="49"/>
      <c r="J68" s="50">
        <v>0.9</v>
      </c>
      <c r="K68" s="205"/>
      <c r="L68" s="205"/>
      <c r="M68" s="205"/>
      <c r="N68" s="205"/>
      <c r="O68" s="205"/>
      <c r="P68" s="210"/>
      <c r="Q68" s="27"/>
      <c r="R68" s="93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23">
        <v>11</v>
      </c>
      <c r="C69" s="226">
        <f>+C64+$N$12</f>
        <v>13.5</v>
      </c>
      <c r="D69" s="203">
        <v>0.69699999999999995</v>
      </c>
      <c r="E69" s="203">
        <v>0.877</v>
      </c>
      <c r="F69" s="36" t="s">
        <v>75</v>
      </c>
      <c r="G69" s="37">
        <v>0</v>
      </c>
      <c r="H69" s="38"/>
      <c r="I69" s="39"/>
      <c r="J69" s="40">
        <v>0.314</v>
      </c>
      <c r="K69" s="203">
        <f>+IF(E69&lt;=0.12,(J71),(IF(E69&lt;0.16,((J70+2*J71+J72)/4),IF(E69&gt;=0.16,((J69+3*J70+2*J71+3*J72+J73)/10)))))</f>
        <v>0.56374000000000002</v>
      </c>
      <c r="L69" s="203">
        <f>ROUND(+(D64+D69)/2*(C69-C64),3)</f>
        <v>0.76900000000000002</v>
      </c>
      <c r="M69" s="203">
        <f>ROUND(+K69*L69,4)</f>
        <v>0.4335</v>
      </c>
      <c r="N69" s="206">
        <f>ROUND(+M69/$M$98*100,2)</f>
        <v>8.23</v>
      </c>
      <c r="O69" s="207"/>
      <c r="P69" s="208"/>
      <c r="Q69" s="27"/>
      <c r="R69" s="93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24"/>
      <c r="C70" s="204"/>
      <c r="D70" s="204"/>
      <c r="E70" s="204"/>
      <c r="F70" s="41" t="s">
        <v>76</v>
      </c>
      <c r="G70" s="42">
        <f>IF(E69&lt;0.125,"NA",IF(0.125&lt;=E69,(0.2*E69)))</f>
        <v>0.1754</v>
      </c>
      <c r="H70" s="43"/>
      <c r="I70" s="44"/>
      <c r="J70" s="45">
        <v>0.51500000000000001</v>
      </c>
      <c r="K70" s="204"/>
      <c r="L70" s="204"/>
      <c r="M70" s="204"/>
      <c r="N70" s="204"/>
      <c r="O70" s="204"/>
      <c r="P70" s="209"/>
      <c r="Q70" s="27"/>
      <c r="R70" s="93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24"/>
      <c r="C71" s="204"/>
      <c r="D71" s="204"/>
      <c r="E71" s="204"/>
      <c r="F71" s="41" t="s">
        <v>77</v>
      </c>
      <c r="G71" s="42">
        <f>+E69*0.4</f>
        <v>0.3508</v>
      </c>
      <c r="H71" s="43"/>
      <c r="I71" s="44"/>
      <c r="J71" s="45">
        <v>0.61870000000000003</v>
      </c>
      <c r="K71" s="204"/>
      <c r="L71" s="204"/>
      <c r="M71" s="204"/>
      <c r="N71" s="204"/>
      <c r="O71" s="204"/>
      <c r="P71" s="209"/>
      <c r="Q71" s="27"/>
      <c r="R71" s="93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24"/>
      <c r="C72" s="204"/>
      <c r="D72" s="204"/>
      <c r="E72" s="204"/>
      <c r="F72" s="41" t="s">
        <v>78</v>
      </c>
      <c r="G72" s="42">
        <f>IF(E69&lt;0.125,"NA",IF(0.125&lt;=E69,(0.8*E69)))</f>
        <v>0.7016</v>
      </c>
      <c r="H72" s="43"/>
      <c r="I72" s="44"/>
      <c r="J72" s="45">
        <v>0.63400000000000001</v>
      </c>
      <c r="K72" s="204"/>
      <c r="L72" s="204"/>
      <c r="M72" s="204"/>
      <c r="N72" s="204"/>
      <c r="O72" s="204"/>
      <c r="P72" s="209"/>
      <c r="Q72" s="27"/>
      <c r="R72" s="93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25"/>
      <c r="C73" s="205"/>
      <c r="D73" s="205"/>
      <c r="E73" s="205"/>
      <c r="F73" s="46" t="s">
        <v>79</v>
      </c>
      <c r="G73" s="47">
        <f>+E69</f>
        <v>0.877</v>
      </c>
      <c r="H73" s="48"/>
      <c r="I73" s="49"/>
      <c r="J73" s="50">
        <v>0.63900000000000001</v>
      </c>
      <c r="K73" s="205"/>
      <c r="L73" s="205"/>
      <c r="M73" s="205"/>
      <c r="N73" s="205"/>
      <c r="O73" s="205"/>
      <c r="P73" s="210"/>
      <c r="Q73" s="27"/>
      <c r="R73" s="93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23">
        <v>12</v>
      </c>
      <c r="C74" s="226">
        <f>+C69+$N$12+0.1</f>
        <v>14.6</v>
      </c>
      <c r="D74" s="203">
        <v>0</v>
      </c>
      <c r="E74" s="203">
        <v>0.58299999999999996</v>
      </c>
      <c r="F74" s="36" t="s">
        <v>75</v>
      </c>
      <c r="G74" s="37">
        <v>0</v>
      </c>
      <c r="H74" s="38"/>
      <c r="I74" s="39"/>
      <c r="J74" s="40">
        <v>0.12</v>
      </c>
      <c r="K74" s="203">
        <f>+IF(E74&lt;=0.12,(J76),(IF(E74&lt;0.16,((J75+2*J76+J77)/4),IF(E74&gt;=0.16,((J74+3*J75+2*J76+3*J77+J78)/10)))))</f>
        <v>0.1699</v>
      </c>
      <c r="L74" s="203">
        <f>ROUND(+(D69+D74)/2*(C74-C69),3)</f>
        <v>0.38300000000000001</v>
      </c>
      <c r="M74" s="203">
        <f>ROUND(+K74*L74,4)</f>
        <v>6.5100000000000005E-2</v>
      </c>
      <c r="N74" s="206">
        <f>ROUND(+M74/$M$98*100,2)</f>
        <v>1.24</v>
      </c>
      <c r="O74" s="207"/>
      <c r="P74" s="208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24"/>
      <c r="C75" s="204"/>
      <c r="D75" s="204"/>
      <c r="E75" s="204"/>
      <c r="F75" s="41" t="s">
        <v>76</v>
      </c>
      <c r="G75" s="42">
        <f>IF(E74&lt;0.125,"NA",IF(0.125&lt;=E74,(0.2*E74)))</f>
        <v>0.1166</v>
      </c>
      <c r="H75" s="43"/>
      <c r="I75" s="44"/>
      <c r="J75" s="45">
        <v>0.159</v>
      </c>
      <c r="K75" s="204"/>
      <c r="L75" s="204"/>
      <c r="M75" s="204"/>
      <c r="N75" s="204"/>
      <c r="O75" s="204"/>
      <c r="P75" s="209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24"/>
      <c r="C76" s="204"/>
      <c r="D76" s="204"/>
      <c r="E76" s="204"/>
      <c r="F76" s="41" t="s">
        <v>77</v>
      </c>
      <c r="G76" s="42">
        <f>+E74*0.4</f>
        <v>0.23319999999999999</v>
      </c>
      <c r="H76" s="43"/>
      <c r="I76" s="44"/>
      <c r="J76" s="45">
        <v>0.14399999999999999</v>
      </c>
      <c r="K76" s="204"/>
      <c r="L76" s="204"/>
      <c r="M76" s="204"/>
      <c r="N76" s="204"/>
      <c r="O76" s="204"/>
      <c r="P76" s="209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24"/>
      <c r="C77" s="204"/>
      <c r="D77" s="204"/>
      <c r="E77" s="204"/>
      <c r="F77" s="41" t="s">
        <v>78</v>
      </c>
      <c r="G77" s="42">
        <f>IF(E74&lt;0.125,"NA",IF(0.125&lt;=E74,(0.8*E74)))</f>
        <v>0.46639999999999998</v>
      </c>
      <c r="H77" s="43"/>
      <c r="I77" s="44"/>
      <c r="J77" s="45">
        <v>0.20200000000000001</v>
      </c>
      <c r="K77" s="204"/>
      <c r="L77" s="204"/>
      <c r="M77" s="204"/>
      <c r="N77" s="204"/>
      <c r="O77" s="204"/>
      <c r="P77" s="209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25"/>
      <c r="C78" s="205"/>
      <c r="D78" s="205"/>
      <c r="E78" s="205"/>
      <c r="F78" s="46" t="s">
        <v>79</v>
      </c>
      <c r="G78" s="47">
        <f>+E74</f>
        <v>0.58299999999999996</v>
      </c>
      <c r="H78" s="48"/>
      <c r="I78" s="49"/>
      <c r="J78" s="50">
        <v>0.20799999999999999</v>
      </c>
      <c r="K78" s="205"/>
      <c r="L78" s="205"/>
      <c r="M78" s="205"/>
      <c r="N78" s="205"/>
      <c r="O78" s="205"/>
      <c r="P78" s="210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" customFormat="1" ht="13.5" customHeight="1" x14ac:dyDescent="0.2">
      <c r="B79" s="211" t="s">
        <v>28</v>
      </c>
      <c r="C79" s="214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6"/>
    </row>
    <row r="80" spans="1:26" s="3" customFormat="1" ht="14.1" customHeight="1" x14ac:dyDescent="0.2">
      <c r="B80" s="212"/>
      <c r="C80" s="217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9"/>
    </row>
    <row r="81" spans="1:26" s="3" customFormat="1" ht="14.1" customHeight="1" x14ac:dyDescent="0.2">
      <c r="B81" s="212"/>
      <c r="C81" s="217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9"/>
    </row>
    <row r="82" spans="1:26" s="3" customFormat="1" ht="14.1" customHeight="1" x14ac:dyDescent="0.2">
      <c r="B82" s="212"/>
      <c r="C82" s="217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9"/>
    </row>
    <row r="83" spans="1:26" s="3" customFormat="1" ht="14.1" customHeight="1" x14ac:dyDescent="0.2">
      <c r="B83" s="212"/>
      <c r="C83" s="217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9"/>
    </row>
    <row r="84" spans="1:26" s="3" customFormat="1" ht="14.1" customHeight="1" thickBot="1" x14ac:dyDescent="0.25">
      <c r="B84" s="213"/>
      <c r="C84" s="220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2"/>
    </row>
    <row r="85" spans="1:26" s="3" customFormat="1" ht="28.5" customHeight="1" thickBot="1" x14ac:dyDescent="0.25">
      <c r="A85" s="51"/>
      <c r="B85" s="52" t="s">
        <v>80</v>
      </c>
      <c r="C85" s="190" t="s">
        <v>81</v>
      </c>
      <c r="D85" s="190"/>
      <c r="E85" s="190"/>
      <c r="F85" s="190"/>
      <c r="G85" s="190"/>
      <c r="H85" s="191"/>
      <c r="I85" s="192"/>
      <c r="J85" s="52" t="s">
        <v>82</v>
      </c>
      <c r="K85" s="190" t="s">
        <v>83</v>
      </c>
      <c r="L85" s="190"/>
      <c r="M85" s="190"/>
      <c r="N85" s="190"/>
      <c r="O85" s="190"/>
      <c r="P85" s="191"/>
    </row>
    <row r="86" spans="1:26" s="3" customFormat="1" ht="28.5" customHeight="1" thickBot="1" x14ac:dyDescent="0.25">
      <c r="B86" s="53" t="s">
        <v>84</v>
      </c>
      <c r="C86" s="194" t="s">
        <v>85</v>
      </c>
      <c r="D86" s="194"/>
      <c r="E86" s="194"/>
      <c r="F86" s="194"/>
      <c r="G86" s="194"/>
      <c r="H86" s="195"/>
      <c r="I86" s="193"/>
      <c r="J86" s="53" t="s">
        <v>86</v>
      </c>
      <c r="K86" s="194" t="s">
        <v>87</v>
      </c>
      <c r="L86" s="194"/>
      <c r="M86" s="194"/>
      <c r="N86" s="194"/>
      <c r="O86" s="194"/>
      <c r="P86" s="195"/>
    </row>
    <row r="87" spans="1:26" s="94" customFormat="1" ht="13.5" customHeight="1" x14ac:dyDescent="0.25">
      <c r="A87" s="54"/>
      <c r="B87" s="196">
        <f>+B54</f>
        <v>8</v>
      </c>
      <c r="C87" s="199">
        <f>+C49</f>
        <v>9.5</v>
      </c>
      <c r="D87" s="201">
        <f>+D49</f>
        <v>1.218</v>
      </c>
      <c r="E87" s="201">
        <f>+E54</f>
        <v>1.1830000000000001</v>
      </c>
      <c r="F87" s="55" t="s">
        <v>75</v>
      </c>
      <c r="G87" s="55">
        <v>0.01</v>
      </c>
      <c r="H87" s="56"/>
      <c r="I87" s="57"/>
      <c r="J87" s="58">
        <v>0.48240000000000005</v>
      </c>
      <c r="K87" s="202">
        <f>+AVERAGE(J87:J97)</f>
        <v>0.79248181818181829</v>
      </c>
      <c r="L87" s="181">
        <f>ROUND(+(D87+D92)/2*(C92-C87),3)</f>
        <v>1.1990000000000001</v>
      </c>
      <c r="M87" s="184">
        <f>ROUND(+K87*L87,4)</f>
        <v>0.95020000000000004</v>
      </c>
      <c r="N87" s="181">
        <f>ROUND(+M87/$M$98*100,2)</f>
        <v>18.03</v>
      </c>
      <c r="O87" s="181"/>
      <c r="P87" s="185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94" customFormat="1" ht="13.5" customHeight="1" x14ac:dyDescent="0.25">
      <c r="A88" s="54"/>
      <c r="B88" s="197"/>
      <c r="C88" s="182"/>
      <c r="D88" s="182"/>
      <c r="E88" s="182"/>
      <c r="F88" s="60" t="s">
        <v>88</v>
      </c>
      <c r="G88" s="61">
        <f>+E87*0.1</f>
        <v>0.11830000000000002</v>
      </c>
      <c r="H88" s="62"/>
      <c r="I88" s="63"/>
      <c r="J88" s="64">
        <v>0.57999999999999996</v>
      </c>
      <c r="K88" s="182"/>
      <c r="L88" s="182"/>
      <c r="M88" s="182"/>
      <c r="N88" s="182"/>
      <c r="O88" s="182"/>
      <c r="P88" s="186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s="94" customFormat="1" ht="13.5" customHeight="1" x14ac:dyDescent="0.25">
      <c r="A89" s="54"/>
      <c r="B89" s="197"/>
      <c r="C89" s="182"/>
      <c r="D89" s="182"/>
      <c r="E89" s="182"/>
      <c r="F89" s="60" t="s">
        <v>89</v>
      </c>
      <c r="G89" s="61">
        <f>+E87*0.2</f>
        <v>0.23660000000000003</v>
      </c>
      <c r="H89" s="62"/>
      <c r="I89" s="63"/>
      <c r="J89" s="64">
        <v>0.66190000000000004</v>
      </c>
      <c r="K89" s="182"/>
      <c r="L89" s="182"/>
      <c r="M89" s="182"/>
      <c r="N89" s="182"/>
      <c r="O89" s="182"/>
      <c r="P89" s="186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s="94" customFormat="1" ht="13.5" customHeight="1" x14ac:dyDescent="0.25">
      <c r="A90" s="54"/>
      <c r="B90" s="197"/>
      <c r="C90" s="182"/>
      <c r="D90" s="182"/>
      <c r="E90" s="182"/>
      <c r="F90" s="60" t="s">
        <v>90</v>
      </c>
      <c r="G90" s="61">
        <f>+E87*0.3</f>
        <v>0.35489999999999999</v>
      </c>
      <c r="H90" s="62"/>
      <c r="I90" s="63"/>
      <c r="J90" s="64">
        <v>0.69</v>
      </c>
      <c r="K90" s="182"/>
      <c r="L90" s="182"/>
      <c r="M90" s="182"/>
      <c r="N90" s="182"/>
      <c r="O90" s="182"/>
      <c r="P90" s="186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s="94" customFormat="1" ht="13.5" customHeight="1" x14ac:dyDescent="0.25">
      <c r="A91" s="54"/>
      <c r="B91" s="197"/>
      <c r="C91" s="200"/>
      <c r="D91" s="200"/>
      <c r="E91" s="182"/>
      <c r="F91" s="60" t="s">
        <v>91</v>
      </c>
      <c r="G91" s="61">
        <f>+E87*0.4</f>
        <v>0.47320000000000007</v>
      </c>
      <c r="H91" s="62"/>
      <c r="I91" s="63"/>
      <c r="J91" s="64">
        <v>0.81399999999999995</v>
      </c>
      <c r="K91" s="182"/>
      <c r="L91" s="182"/>
      <c r="M91" s="182"/>
      <c r="N91" s="182"/>
      <c r="O91" s="182"/>
      <c r="P91" s="186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s="94" customFormat="1" ht="13.5" customHeight="1" x14ac:dyDescent="0.25">
      <c r="A92" s="54"/>
      <c r="B92" s="197"/>
      <c r="C92" s="188">
        <f>+C54</f>
        <v>10.5</v>
      </c>
      <c r="D92" s="189">
        <f>+D54</f>
        <v>1.179</v>
      </c>
      <c r="E92" s="182"/>
      <c r="F92" s="60" t="s">
        <v>29</v>
      </c>
      <c r="G92" s="61">
        <f>+E87*0.5</f>
        <v>0.59150000000000003</v>
      </c>
      <c r="H92" s="62"/>
      <c r="I92" s="63"/>
      <c r="J92" s="64">
        <v>0.83599999999999997</v>
      </c>
      <c r="K92" s="182"/>
      <c r="L92" s="182"/>
      <c r="M92" s="182"/>
      <c r="N92" s="182"/>
      <c r="O92" s="182"/>
      <c r="P92" s="186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94" customFormat="1" ht="13.5" customHeight="1" x14ac:dyDescent="0.25">
      <c r="A93" s="54"/>
      <c r="B93" s="197"/>
      <c r="C93" s="182"/>
      <c r="D93" s="182"/>
      <c r="E93" s="182"/>
      <c r="F93" s="60" t="s">
        <v>92</v>
      </c>
      <c r="G93" s="61">
        <f>+E87*0.6</f>
        <v>0.70979999999999999</v>
      </c>
      <c r="H93" s="62"/>
      <c r="I93" s="63"/>
      <c r="J93" s="64">
        <v>0.89400000000000002</v>
      </c>
      <c r="K93" s="182"/>
      <c r="L93" s="182"/>
      <c r="M93" s="182"/>
      <c r="N93" s="182"/>
      <c r="O93" s="182"/>
      <c r="P93" s="186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s="94" customFormat="1" ht="13.5" customHeight="1" x14ac:dyDescent="0.25">
      <c r="A94" s="54"/>
      <c r="B94" s="197"/>
      <c r="C94" s="182"/>
      <c r="D94" s="182"/>
      <c r="E94" s="182"/>
      <c r="F94" s="60" t="s">
        <v>93</v>
      </c>
      <c r="G94" s="61">
        <f>+E87*0.7</f>
        <v>0.82809999999999995</v>
      </c>
      <c r="H94" s="62"/>
      <c r="I94" s="63"/>
      <c r="J94" s="64">
        <v>0.92500000000000004</v>
      </c>
      <c r="K94" s="182"/>
      <c r="L94" s="182"/>
      <c r="M94" s="182"/>
      <c r="N94" s="182"/>
      <c r="O94" s="182"/>
      <c r="P94" s="186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s="94" customFormat="1" ht="13.5" customHeight="1" x14ac:dyDescent="0.25">
      <c r="A95" s="54"/>
      <c r="B95" s="197"/>
      <c r="C95" s="182"/>
      <c r="D95" s="182"/>
      <c r="E95" s="182"/>
      <c r="F95" s="60" t="s">
        <v>94</v>
      </c>
      <c r="G95" s="61">
        <f>+E87*0.8</f>
        <v>0.94640000000000013</v>
      </c>
      <c r="H95" s="62"/>
      <c r="I95" s="63"/>
      <c r="J95" s="64">
        <v>0.95799999999999996</v>
      </c>
      <c r="K95" s="182"/>
      <c r="L95" s="182"/>
      <c r="M95" s="182"/>
      <c r="N95" s="182"/>
      <c r="O95" s="182"/>
      <c r="P95" s="186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s="94" customFormat="1" ht="13.5" customHeight="1" x14ac:dyDescent="0.25">
      <c r="A96" s="54"/>
      <c r="B96" s="197"/>
      <c r="C96" s="182"/>
      <c r="D96" s="182"/>
      <c r="E96" s="182"/>
      <c r="F96" s="60" t="s">
        <v>95</v>
      </c>
      <c r="G96" s="61">
        <f>+E87*0.9</f>
        <v>1.0647</v>
      </c>
      <c r="H96" s="62"/>
      <c r="I96" s="63"/>
      <c r="J96" s="64">
        <v>0.96099999999999997</v>
      </c>
      <c r="K96" s="182"/>
      <c r="L96" s="182"/>
      <c r="M96" s="182"/>
      <c r="N96" s="182"/>
      <c r="O96" s="182"/>
      <c r="P96" s="186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s="94" customFormat="1" ht="15.75" thickBot="1" x14ac:dyDescent="0.3">
      <c r="A97" s="54"/>
      <c r="B97" s="198"/>
      <c r="C97" s="183"/>
      <c r="D97" s="183"/>
      <c r="E97" s="183"/>
      <c r="F97" s="65" t="s">
        <v>30</v>
      </c>
      <c r="G97" s="65">
        <f>+E87</f>
        <v>1.1830000000000001</v>
      </c>
      <c r="H97" s="66"/>
      <c r="I97" s="67"/>
      <c r="J97" s="68">
        <v>0.91500000000000004</v>
      </c>
      <c r="K97" s="183"/>
      <c r="L97" s="183"/>
      <c r="M97" s="183"/>
      <c r="N97" s="183"/>
      <c r="O97" s="183"/>
      <c r="P97" s="187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3" customFormat="1" ht="12.75" x14ac:dyDescent="0.2">
      <c r="A98" s="8"/>
      <c r="B98" s="169" t="s">
        <v>111</v>
      </c>
      <c r="C98" s="169"/>
      <c r="D98" s="169"/>
      <c r="E98" s="169"/>
      <c r="F98" s="169"/>
      <c r="G98" s="169"/>
      <c r="H98" s="169"/>
      <c r="I98" s="169"/>
      <c r="J98" s="169"/>
      <c r="K98" s="13">
        <f>ROUND(+M98/L98,3)</f>
        <v>0.65400000000000003</v>
      </c>
      <c r="L98" s="12">
        <f>SUM(L19:L97)</f>
        <v>8.0570000000000004</v>
      </c>
      <c r="M98" s="11">
        <f>SUM(M19:M97)</f>
        <v>5.2695999999999996</v>
      </c>
      <c r="N98" s="9">
        <f>ROUND(SUM(N19:N97),0)</f>
        <v>100</v>
      </c>
      <c r="O98" s="171" t="s">
        <v>31</v>
      </c>
      <c r="P98" s="173"/>
    </row>
    <row r="99" spans="1:26" s="3" customFormat="1" ht="15" customHeight="1" thickBot="1" x14ac:dyDescent="0.25">
      <c r="A99" s="8"/>
      <c r="B99" s="170"/>
      <c r="C99" s="170"/>
      <c r="D99" s="170"/>
      <c r="E99" s="170"/>
      <c r="F99" s="170"/>
      <c r="G99" s="170"/>
      <c r="H99" s="170"/>
      <c r="I99" s="170"/>
      <c r="J99" s="170"/>
      <c r="K99" s="10" t="s">
        <v>32</v>
      </c>
      <c r="L99" s="10" t="s">
        <v>48</v>
      </c>
      <c r="M99" s="10" t="s">
        <v>101</v>
      </c>
      <c r="N99" s="10" t="s">
        <v>33</v>
      </c>
      <c r="O99" s="172"/>
      <c r="P99" s="174"/>
    </row>
    <row r="100" spans="1:26" ht="15" customHeight="1" thickBot="1" x14ac:dyDescent="0.3">
      <c r="A100" s="96"/>
      <c r="B100" s="175" t="s">
        <v>96</v>
      </c>
      <c r="C100" s="176"/>
      <c r="D100" s="176"/>
      <c r="E100" s="176"/>
      <c r="F100" s="177"/>
      <c r="G100" s="175" t="s">
        <v>97</v>
      </c>
      <c r="H100" s="176"/>
      <c r="I100" s="176"/>
      <c r="J100" s="176"/>
      <c r="K100" s="177"/>
      <c r="L100" s="178" t="s">
        <v>49</v>
      </c>
      <c r="M100" s="179"/>
      <c r="N100" s="179"/>
      <c r="O100" s="179"/>
      <c r="P100" s="180"/>
    </row>
    <row r="101" spans="1:26" ht="15" customHeight="1" x14ac:dyDescent="0.25">
      <c r="A101" s="96"/>
      <c r="B101" s="139"/>
      <c r="C101" s="140"/>
      <c r="D101" s="140"/>
      <c r="E101" s="140"/>
      <c r="F101" s="141"/>
      <c r="G101" s="139"/>
      <c r="H101" s="140"/>
      <c r="I101" s="140"/>
      <c r="J101" s="140"/>
      <c r="K101" s="141"/>
      <c r="L101" s="148" t="s">
        <v>98</v>
      </c>
      <c r="M101" s="149"/>
      <c r="N101" s="149"/>
      <c r="O101" s="150">
        <f>+AVERAGE(E18:E78)</f>
        <v>0.67358333333333331</v>
      </c>
      <c r="P101" s="151"/>
    </row>
    <row r="102" spans="1:26" ht="15" customHeight="1" thickBot="1" x14ac:dyDescent="0.3">
      <c r="A102" s="96"/>
      <c r="B102" s="142"/>
      <c r="C102" s="143"/>
      <c r="D102" s="143"/>
      <c r="E102" s="143"/>
      <c r="F102" s="144"/>
      <c r="G102" s="142"/>
      <c r="H102" s="143"/>
      <c r="I102" s="143"/>
      <c r="J102" s="143"/>
      <c r="K102" s="144"/>
      <c r="L102" s="152" t="s">
        <v>99</v>
      </c>
      <c r="M102" s="153"/>
      <c r="N102" s="153"/>
      <c r="O102" s="154">
        <f>MAX(E18:E78)</f>
        <v>1.1830000000000001</v>
      </c>
      <c r="P102" s="155"/>
    </row>
    <row r="103" spans="1:26" ht="18.600000000000001" customHeight="1" x14ac:dyDescent="0.25">
      <c r="A103" s="97"/>
      <c r="B103" s="142"/>
      <c r="C103" s="143"/>
      <c r="D103" s="143"/>
      <c r="E103" s="143"/>
      <c r="F103" s="144"/>
      <c r="G103" s="142"/>
      <c r="H103" s="143"/>
      <c r="I103" s="143"/>
      <c r="J103" s="143"/>
      <c r="K103" s="144"/>
      <c r="L103" s="156" t="s">
        <v>115</v>
      </c>
      <c r="M103" s="157"/>
      <c r="N103" s="157"/>
      <c r="O103" s="157"/>
      <c r="P103" s="158"/>
    </row>
    <row r="104" spans="1:26" ht="42" customHeight="1" x14ac:dyDescent="0.25">
      <c r="A104" s="98"/>
      <c r="B104" s="142"/>
      <c r="C104" s="143"/>
      <c r="D104" s="143"/>
      <c r="E104" s="143"/>
      <c r="F104" s="144"/>
      <c r="G104" s="142"/>
      <c r="H104" s="143"/>
      <c r="I104" s="143"/>
      <c r="J104" s="143"/>
      <c r="K104" s="144"/>
      <c r="L104" s="159"/>
      <c r="M104" s="160"/>
      <c r="N104" s="160"/>
      <c r="O104" s="160"/>
      <c r="P104" s="161"/>
    </row>
    <row r="105" spans="1:26" ht="15" customHeight="1" thickBot="1" x14ac:dyDescent="0.3">
      <c r="A105" s="96"/>
      <c r="B105" s="142"/>
      <c r="C105" s="143"/>
      <c r="D105" s="143"/>
      <c r="E105" s="143"/>
      <c r="F105" s="144"/>
      <c r="G105" s="142"/>
      <c r="H105" s="143"/>
      <c r="I105" s="143"/>
      <c r="J105" s="143"/>
      <c r="K105" s="144"/>
      <c r="L105" s="162"/>
      <c r="M105" s="163"/>
      <c r="N105" s="163"/>
      <c r="O105" s="163"/>
      <c r="P105" s="164"/>
    </row>
    <row r="106" spans="1:26" ht="22.5" customHeight="1" thickBot="1" x14ac:dyDescent="0.3">
      <c r="A106" s="96"/>
      <c r="B106" s="142"/>
      <c r="C106" s="143"/>
      <c r="D106" s="143"/>
      <c r="E106" s="143"/>
      <c r="F106" s="144"/>
      <c r="G106" s="142"/>
      <c r="H106" s="143"/>
      <c r="I106" s="143"/>
      <c r="J106" s="143"/>
      <c r="K106" s="144"/>
      <c r="L106" s="165" t="s">
        <v>34</v>
      </c>
      <c r="M106" s="166"/>
      <c r="N106" s="166"/>
      <c r="O106" s="166"/>
      <c r="P106" s="90">
        <v>6.8</v>
      </c>
    </row>
    <row r="107" spans="1:26" ht="32.25" customHeight="1" thickBot="1" x14ac:dyDescent="0.3">
      <c r="A107" s="96"/>
      <c r="B107" s="145"/>
      <c r="C107" s="146"/>
      <c r="D107" s="146"/>
      <c r="E107" s="146"/>
      <c r="F107" s="147"/>
      <c r="G107" s="145"/>
      <c r="H107" s="146"/>
      <c r="I107" s="146"/>
      <c r="J107" s="146"/>
      <c r="K107" s="147"/>
      <c r="L107" s="167" t="s">
        <v>104</v>
      </c>
      <c r="M107" s="168"/>
      <c r="N107" s="168"/>
      <c r="O107" s="168"/>
      <c r="P107" s="90">
        <v>1.7952999999999999</v>
      </c>
    </row>
    <row r="108" spans="1:26" ht="23.45" customHeight="1" thickBot="1" x14ac:dyDescent="0.3">
      <c r="A108" s="5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</row>
    <row r="109" spans="1:26" ht="15.75" thickBot="1" x14ac:dyDescent="0.3">
      <c r="A109" s="128" t="s">
        <v>35</v>
      </c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30"/>
    </row>
    <row r="110" spans="1:26" ht="159" customHeight="1" thickBot="1" x14ac:dyDescent="0.3">
      <c r="A110" s="4"/>
      <c r="B110" s="131"/>
      <c r="C110" s="132"/>
      <c r="D110" s="132"/>
      <c r="E110" s="132"/>
      <c r="F110" s="133"/>
      <c r="G110" s="131"/>
      <c r="H110" s="132"/>
      <c r="I110" s="132"/>
      <c r="J110" s="132"/>
      <c r="K110" s="133"/>
      <c r="L110" s="131"/>
      <c r="M110" s="132"/>
      <c r="N110" s="132"/>
      <c r="O110" s="132"/>
      <c r="P110" s="134"/>
    </row>
    <row r="111" spans="1:26" ht="21.75" customHeight="1" thickBot="1" x14ac:dyDescent="0.3">
      <c r="A111" s="4"/>
      <c r="B111" s="315" t="s">
        <v>112</v>
      </c>
      <c r="C111" s="316"/>
      <c r="D111" s="316"/>
      <c r="E111" s="316"/>
      <c r="F111" s="317"/>
      <c r="G111" s="315" t="s">
        <v>100</v>
      </c>
      <c r="H111" s="316"/>
      <c r="I111" s="316"/>
      <c r="J111" s="316"/>
      <c r="K111" s="317"/>
      <c r="L111" s="315" t="s">
        <v>105</v>
      </c>
      <c r="M111" s="316"/>
      <c r="N111" s="316"/>
      <c r="O111" s="316"/>
      <c r="P111" s="318"/>
    </row>
    <row r="112" spans="1:26" s="7" customFormat="1" ht="16.899999999999999" customHeight="1" thickBot="1" x14ac:dyDescent="0.3">
      <c r="A112" s="6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3"/>
    </row>
    <row r="113" spans="1:16" s="3" customFormat="1" ht="15.75" customHeight="1" thickBot="1" x14ac:dyDescent="0.25">
      <c r="A113" s="124" t="s">
        <v>36</v>
      </c>
      <c r="B113" s="125"/>
      <c r="C113" s="125"/>
      <c r="D113" s="125"/>
      <c r="E113" s="125"/>
      <c r="F113" s="125"/>
      <c r="G113" s="125"/>
      <c r="H113" s="125"/>
      <c r="I113" s="125"/>
      <c r="J113" s="125" t="s">
        <v>37</v>
      </c>
      <c r="K113" s="125"/>
      <c r="L113" s="125"/>
      <c r="M113" s="125"/>
      <c r="N113" s="125"/>
      <c r="O113" s="125"/>
      <c r="P113" s="126"/>
    </row>
  </sheetData>
  <mergeCells count="22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74:M78"/>
    <mergeCell ref="N74:N78"/>
    <mergeCell ref="O74:O78"/>
    <mergeCell ref="P74:P78"/>
    <mergeCell ref="B79:B84"/>
    <mergeCell ref="C79:P84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C85:H85"/>
    <mergeCell ref="I85:I86"/>
    <mergeCell ref="K85:P85"/>
    <mergeCell ref="C86:H86"/>
    <mergeCell ref="K86:P86"/>
    <mergeCell ref="B87:B97"/>
    <mergeCell ref="C87:C91"/>
    <mergeCell ref="D87:D91"/>
    <mergeCell ref="E87:E97"/>
    <mergeCell ref="K87:K97"/>
    <mergeCell ref="B98:J99"/>
    <mergeCell ref="O98:O99"/>
    <mergeCell ref="P98:P99"/>
    <mergeCell ref="B100:F100"/>
    <mergeCell ref="G100:K100"/>
    <mergeCell ref="L100:P100"/>
    <mergeCell ref="L87:L97"/>
    <mergeCell ref="M87:M97"/>
    <mergeCell ref="N87:N97"/>
    <mergeCell ref="O87:O97"/>
    <mergeCell ref="P87:P97"/>
    <mergeCell ref="C92:C97"/>
    <mergeCell ref="D92:D97"/>
    <mergeCell ref="B101:F107"/>
    <mergeCell ref="G101:K107"/>
    <mergeCell ref="L101:N101"/>
    <mergeCell ref="O101:P101"/>
    <mergeCell ref="L102:N102"/>
    <mergeCell ref="O102:P102"/>
    <mergeCell ref="L103:P105"/>
    <mergeCell ref="L106:O106"/>
    <mergeCell ref="L107:O107"/>
    <mergeCell ref="B112:P112"/>
    <mergeCell ref="A113:C113"/>
    <mergeCell ref="D113:I113"/>
    <mergeCell ref="J113:K113"/>
    <mergeCell ref="L113:P113"/>
    <mergeCell ref="B108:P108"/>
    <mergeCell ref="A109:P109"/>
    <mergeCell ref="B110:F110"/>
    <mergeCell ref="G110:K110"/>
    <mergeCell ref="L110:P110"/>
    <mergeCell ref="B111:F111"/>
    <mergeCell ref="G111:K111"/>
    <mergeCell ref="L111:P11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view="pageBreakPreview" zoomScaleSheetLayoutView="100" zoomScalePageLayoutView="110" workbookViewId="0">
      <selection activeCell="D19" sqref="D19:D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51"/>
      <c r="B2" s="352"/>
      <c r="C2" s="353"/>
      <c r="D2" s="354"/>
      <c r="E2" s="355" t="s">
        <v>123</v>
      </c>
      <c r="F2" s="356"/>
      <c r="G2" s="356"/>
      <c r="H2" s="356"/>
      <c r="I2" s="356"/>
      <c r="J2" s="356"/>
      <c r="K2" s="356"/>
      <c r="L2" s="356"/>
      <c r="M2" s="356"/>
      <c r="N2" s="356"/>
      <c r="O2" s="357"/>
      <c r="P2" s="358"/>
    </row>
    <row r="3" spans="1:26" s="2" customFormat="1" ht="25.5" customHeight="1" thickBot="1" x14ac:dyDescent="0.3">
      <c r="A3" s="351"/>
      <c r="B3" s="359"/>
      <c r="C3" s="360"/>
      <c r="D3" s="361"/>
      <c r="E3" s="362"/>
      <c r="F3" s="363"/>
      <c r="G3" s="363"/>
      <c r="H3" s="363"/>
      <c r="I3" s="363"/>
      <c r="J3" s="363"/>
      <c r="K3" s="363"/>
      <c r="L3" s="363"/>
      <c r="M3" s="363"/>
      <c r="N3" s="363"/>
      <c r="O3" s="364"/>
      <c r="P3" s="365"/>
    </row>
    <row r="4" spans="1:26" s="94" customFormat="1" ht="11.25" customHeight="1" thickBot="1" x14ac:dyDescent="0.3">
      <c r="A4" s="15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10">
        <v>43111</v>
      </c>
      <c r="D5" s="311"/>
      <c r="E5" s="70" t="s">
        <v>50</v>
      </c>
      <c r="F5" s="71">
        <v>3</v>
      </c>
      <c r="G5" s="72" t="s">
        <v>1</v>
      </c>
      <c r="H5" s="312" t="s">
        <v>124</v>
      </c>
      <c r="I5" s="313"/>
      <c r="J5" s="313"/>
      <c r="K5" s="313"/>
      <c r="L5" s="313"/>
      <c r="M5" s="313"/>
      <c r="N5" s="313"/>
      <c r="O5" s="313"/>
      <c r="P5" s="31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93" t="s">
        <v>2</v>
      </c>
      <c r="C6" s="294"/>
      <c r="D6" s="295" t="s">
        <v>108</v>
      </c>
      <c r="E6" s="296"/>
      <c r="F6" s="296"/>
      <c r="G6" s="296"/>
      <c r="H6" s="296"/>
      <c r="I6" s="297"/>
      <c r="J6" s="74" t="s">
        <v>3</v>
      </c>
      <c r="K6" s="298" t="s">
        <v>109</v>
      </c>
      <c r="L6" s="297"/>
      <c r="M6" s="298" t="s">
        <v>110</v>
      </c>
      <c r="N6" s="299"/>
      <c r="O6" s="75" t="s">
        <v>51</v>
      </c>
      <c r="P6" s="76">
        <v>1833</v>
      </c>
    </row>
    <row r="7" spans="1:26" s="18" customFormat="1" ht="21.75" customHeight="1" x14ac:dyDescent="0.25">
      <c r="B7" s="300" t="s">
        <v>52</v>
      </c>
      <c r="C7" s="301" t="s">
        <v>53</v>
      </c>
      <c r="D7" s="271"/>
      <c r="E7" s="78"/>
      <c r="F7" s="302" t="s">
        <v>54</v>
      </c>
      <c r="G7" s="303"/>
      <c r="H7" s="303"/>
      <c r="I7" s="303"/>
      <c r="J7" s="304" t="s">
        <v>55</v>
      </c>
      <c r="K7" s="305"/>
      <c r="L7" s="305"/>
      <c r="M7" s="306"/>
      <c r="N7" s="307" t="s">
        <v>102</v>
      </c>
      <c r="O7" s="308"/>
      <c r="P7" s="79" t="s">
        <v>56</v>
      </c>
    </row>
    <row r="8" spans="1:26" s="18" customFormat="1" ht="21.75" customHeight="1" thickBot="1" x14ac:dyDescent="0.3">
      <c r="B8" s="245"/>
      <c r="C8" s="262" t="s">
        <v>57</v>
      </c>
      <c r="D8" s="261"/>
      <c r="E8" s="80" t="s">
        <v>4</v>
      </c>
      <c r="F8" s="272" t="s">
        <v>5</v>
      </c>
      <c r="G8" s="273"/>
      <c r="H8" s="273"/>
      <c r="I8" s="273"/>
      <c r="J8" s="274"/>
      <c r="K8" s="275"/>
      <c r="L8" s="275"/>
      <c r="M8" s="276"/>
      <c r="N8" s="277"/>
      <c r="O8" s="278"/>
      <c r="P8" s="81"/>
    </row>
    <row r="9" spans="1:26" s="18" customFormat="1" ht="21.75" customHeight="1" x14ac:dyDescent="0.25">
      <c r="B9" s="279" t="s">
        <v>6</v>
      </c>
      <c r="C9" s="282" t="s">
        <v>58</v>
      </c>
      <c r="D9" s="283" t="s">
        <v>59</v>
      </c>
      <c r="E9" s="268"/>
      <c r="F9" s="82"/>
      <c r="G9" s="284" t="s">
        <v>7</v>
      </c>
      <c r="H9" s="285" t="s">
        <v>8</v>
      </c>
      <c r="I9" s="271"/>
      <c r="J9" s="83"/>
      <c r="K9" s="282" t="s">
        <v>60</v>
      </c>
      <c r="L9" s="286" t="s">
        <v>116</v>
      </c>
      <c r="M9" s="287"/>
      <c r="N9" s="288"/>
      <c r="O9" s="288"/>
      <c r="P9" s="289"/>
    </row>
    <row r="10" spans="1:26" s="18" customFormat="1" ht="21.75" customHeight="1" thickBot="1" x14ac:dyDescent="0.3">
      <c r="B10" s="280"/>
      <c r="C10" s="225"/>
      <c r="D10" s="266" t="s">
        <v>61</v>
      </c>
      <c r="E10" s="261"/>
      <c r="F10" s="84" t="s">
        <v>4</v>
      </c>
      <c r="G10" s="225"/>
      <c r="H10" s="266" t="s">
        <v>9</v>
      </c>
      <c r="I10" s="261"/>
      <c r="J10" s="85" t="s">
        <v>4</v>
      </c>
      <c r="K10" s="225"/>
      <c r="L10" s="290"/>
      <c r="M10" s="291"/>
      <c r="N10" s="291"/>
      <c r="O10" s="291"/>
      <c r="P10" s="292"/>
    </row>
    <row r="11" spans="1:26" s="18" customFormat="1" ht="21.75" customHeight="1" x14ac:dyDescent="0.25">
      <c r="A11" s="16"/>
      <c r="B11" s="280"/>
      <c r="C11" s="267" t="s">
        <v>10</v>
      </c>
      <c r="D11" s="268"/>
      <c r="E11" s="86">
        <v>0.375</v>
      </c>
      <c r="F11" s="269" t="s">
        <v>11</v>
      </c>
      <c r="G11" s="268"/>
      <c r="H11" s="87">
        <v>0.9</v>
      </c>
      <c r="I11" s="270" t="s">
        <v>12</v>
      </c>
      <c r="J11" s="271"/>
      <c r="K11" s="87">
        <v>10</v>
      </c>
      <c r="L11" s="267" t="s">
        <v>13</v>
      </c>
      <c r="M11" s="268"/>
      <c r="N11" s="88">
        <v>10.5</v>
      </c>
      <c r="O11" s="258" t="s">
        <v>62</v>
      </c>
      <c r="P11" s="259"/>
    </row>
    <row r="12" spans="1:26" s="18" customFormat="1" ht="21.75" customHeight="1" thickBot="1" x14ac:dyDescent="0.3">
      <c r="A12" s="16"/>
      <c r="B12" s="281"/>
      <c r="C12" s="260" t="s">
        <v>14</v>
      </c>
      <c r="D12" s="261"/>
      <c r="E12" s="86">
        <v>0.47569444444444442</v>
      </c>
      <c r="F12" s="262" t="s">
        <v>15</v>
      </c>
      <c r="G12" s="261"/>
      <c r="H12" s="87">
        <v>0.92</v>
      </c>
      <c r="I12" s="263" t="s">
        <v>16</v>
      </c>
      <c r="J12" s="261"/>
      <c r="K12" s="86">
        <v>0.3347222222222222</v>
      </c>
      <c r="L12" s="260" t="s">
        <v>17</v>
      </c>
      <c r="M12" s="261"/>
      <c r="N12" s="89">
        <v>1</v>
      </c>
      <c r="O12" s="264">
        <v>4.0999999999999996</v>
      </c>
      <c r="P12" s="265"/>
    </row>
    <row r="13" spans="1:26" s="18" customFormat="1" ht="21.75" customHeight="1" x14ac:dyDescent="0.25">
      <c r="A13" s="16"/>
      <c r="B13" s="243" t="s">
        <v>18</v>
      </c>
      <c r="C13" s="246" t="s">
        <v>63</v>
      </c>
      <c r="D13" s="247"/>
      <c r="E13" s="247"/>
      <c r="F13" s="248" t="s">
        <v>64</v>
      </c>
      <c r="G13" s="247"/>
      <c r="H13" s="247"/>
      <c r="I13" s="247"/>
      <c r="J13" s="248" t="s">
        <v>65</v>
      </c>
      <c r="K13" s="247"/>
      <c r="L13" s="247"/>
      <c r="M13" s="247"/>
      <c r="N13" s="249" t="s">
        <v>66</v>
      </c>
      <c r="O13" s="247"/>
      <c r="P13" s="250"/>
      <c r="Q13" s="95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44"/>
      <c r="C14" s="251" t="s">
        <v>67</v>
      </c>
      <c r="D14" s="252"/>
      <c r="E14" s="252"/>
      <c r="F14" s="253" t="s">
        <v>68</v>
      </c>
      <c r="G14" s="252"/>
      <c r="H14" s="252"/>
      <c r="I14" s="252"/>
      <c r="J14" s="254" t="s">
        <v>69</v>
      </c>
      <c r="K14" s="252"/>
      <c r="L14" s="252"/>
      <c r="M14" s="252"/>
      <c r="N14" s="255"/>
      <c r="O14" s="240"/>
      <c r="P14" s="25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5"/>
      <c r="C15" s="257" t="s">
        <v>70</v>
      </c>
      <c r="D15" s="227"/>
      <c r="E15" s="227"/>
      <c r="F15" s="227" t="s">
        <v>71</v>
      </c>
      <c r="G15" s="228"/>
      <c r="H15" s="228"/>
      <c r="I15" s="228"/>
      <c r="J15" s="227" t="s">
        <v>72</v>
      </c>
      <c r="K15" s="228"/>
      <c r="L15" s="228"/>
      <c r="M15" s="228"/>
      <c r="N15" s="229"/>
      <c r="O15" s="230"/>
      <c r="P15" s="23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32" t="s">
        <v>19</v>
      </c>
      <c r="C16" s="234" t="s">
        <v>20</v>
      </c>
      <c r="D16" s="234" t="s">
        <v>40</v>
      </c>
      <c r="E16" s="236" t="s">
        <v>21</v>
      </c>
      <c r="F16" s="237" t="s">
        <v>41</v>
      </c>
      <c r="G16" s="238"/>
      <c r="H16" s="234" t="s">
        <v>73</v>
      </c>
      <c r="I16" s="24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33"/>
      <c r="C17" s="235"/>
      <c r="D17" s="235"/>
      <c r="E17" s="235"/>
      <c r="F17" s="239"/>
      <c r="G17" s="240"/>
      <c r="H17" s="235"/>
      <c r="I17" s="24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O12</f>
        <v>4.0999999999999996</v>
      </c>
      <c r="D18" s="29">
        <v>0.55000000000000004</v>
      </c>
      <c r="E18" s="30"/>
      <c r="F18" s="31"/>
      <c r="G18" s="92"/>
      <c r="H18" s="32"/>
      <c r="I18" s="33"/>
      <c r="J18" s="91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23">
        <v>1</v>
      </c>
      <c r="C19" s="226">
        <f>+C18+$N$12</f>
        <v>5.0999999999999996</v>
      </c>
      <c r="D19" s="203">
        <v>0.5</v>
      </c>
      <c r="E19" s="203">
        <v>0.3</v>
      </c>
      <c r="F19" s="36" t="s">
        <v>75</v>
      </c>
      <c r="G19" s="37">
        <v>0</v>
      </c>
      <c r="H19" s="38"/>
      <c r="I19" s="39"/>
      <c r="J19" s="40">
        <v>0.05</v>
      </c>
      <c r="K19" s="203">
        <f>+IF(E19&lt;=0.12,(J21),(IF(E19&lt;0.16,((J20+2*J21+J22)/4),IF(E19&gt;=0.16,((J19+3*J20+2*J21+3*J22+J23)/10)))))</f>
        <v>0.2203</v>
      </c>
      <c r="L19" s="203">
        <f>ROUND(+(D18+D19)/2*(C19-C18),3)</f>
        <v>0.52500000000000002</v>
      </c>
      <c r="M19" s="203">
        <f>ROUND(+K19*L19,4)</f>
        <v>0.1157</v>
      </c>
      <c r="N19" s="206">
        <f>ROUND(+M19/$M$88*100,2)</f>
        <v>2.38</v>
      </c>
      <c r="O19" s="207"/>
      <c r="P19" s="20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24"/>
      <c r="C20" s="204"/>
      <c r="D20" s="204"/>
      <c r="E20" s="204"/>
      <c r="F20" s="41" t="s">
        <v>76</v>
      </c>
      <c r="G20" s="42">
        <f>IF(E19&lt;0.125,"NA",IF(0.125&lt;=E19,(0.2*E19)))</f>
        <v>0.06</v>
      </c>
      <c r="H20" s="43"/>
      <c r="I20" s="44"/>
      <c r="J20" s="45">
        <v>0.126</v>
      </c>
      <c r="K20" s="204"/>
      <c r="L20" s="204"/>
      <c r="M20" s="204"/>
      <c r="N20" s="204"/>
      <c r="O20" s="204"/>
      <c r="P20" s="209"/>
      <c r="Q20" s="27"/>
      <c r="R20" s="93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24"/>
      <c r="C21" s="204"/>
      <c r="D21" s="204"/>
      <c r="E21" s="204"/>
      <c r="F21" s="41" t="s">
        <v>77</v>
      </c>
      <c r="G21" s="42">
        <f>+E19*0.4</f>
        <v>0.12</v>
      </c>
      <c r="H21" s="43"/>
      <c r="I21" s="44"/>
      <c r="J21" s="45">
        <v>0.23400000000000001</v>
      </c>
      <c r="K21" s="204"/>
      <c r="L21" s="204"/>
      <c r="M21" s="204"/>
      <c r="N21" s="204"/>
      <c r="O21" s="204"/>
      <c r="P21" s="209"/>
      <c r="Q21" s="27"/>
      <c r="R21" s="93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24"/>
      <c r="C22" s="204"/>
      <c r="D22" s="204"/>
      <c r="E22" s="204"/>
      <c r="F22" s="41" t="s">
        <v>78</v>
      </c>
      <c r="G22" s="42">
        <f>IF(E19&lt;0.125,"NA",IF(0.125&lt;=E19,(0.8*E19)))</f>
        <v>0.24</v>
      </c>
      <c r="H22" s="43"/>
      <c r="I22" s="44"/>
      <c r="J22" s="45">
        <v>0.32900000000000001</v>
      </c>
      <c r="K22" s="204"/>
      <c r="L22" s="204"/>
      <c r="M22" s="204"/>
      <c r="N22" s="204"/>
      <c r="O22" s="204"/>
      <c r="P22" s="209"/>
      <c r="Q22" s="27"/>
      <c r="R22" s="93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5"/>
      <c r="C23" s="205"/>
      <c r="D23" s="205"/>
      <c r="E23" s="205"/>
      <c r="F23" s="46" t="s">
        <v>79</v>
      </c>
      <c r="G23" s="47">
        <f>+E19</f>
        <v>0.3</v>
      </c>
      <c r="H23" s="48"/>
      <c r="I23" s="49"/>
      <c r="J23" s="50">
        <v>0.32</v>
      </c>
      <c r="K23" s="205"/>
      <c r="L23" s="205"/>
      <c r="M23" s="205"/>
      <c r="N23" s="205"/>
      <c r="O23" s="205"/>
      <c r="P23" s="210"/>
      <c r="Q23" s="27"/>
      <c r="R23" s="93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23">
        <v>2</v>
      </c>
      <c r="C24" s="226">
        <f>+C19+$N$12</f>
        <v>6.1</v>
      </c>
      <c r="D24" s="203">
        <v>0.48</v>
      </c>
      <c r="E24" s="203">
        <v>0.48</v>
      </c>
      <c r="F24" s="36" t="s">
        <v>75</v>
      </c>
      <c r="G24" s="37">
        <v>0</v>
      </c>
      <c r="H24" s="38"/>
      <c r="I24" s="39"/>
      <c r="J24" s="40">
        <v>0.112</v>
      </c>
      <c r="K24" s="203">
        <f t="shared" ref="K24" si="0">+IF(E24&lt;=0.12,(J26),(IF(E24&lt;0.16,((J25+2*J26+J27)/4),IF(E24&gt;=0.16,((J24+3*J25+2*J26+3*J27+J28)/10)))))</f>
        <v>0.39930000000000004</v>
      </c>
      <c r="L24" s="203">
        <f>ROUND(+(D19+D24)/2*(C24-C19),3)</f>
        <v>0.49</v>
      </c>
      <c r="M24" s="203">
        <f t="shared" ref="M24" si="1">ROUND(+K24*L24,4)</f>
        <v>0.19570000000000001</v>
      </c>
      <c r="N24" s="206">
        <f t="shared" ref="N24" si="2">ROUND(+M24/$M$88*100,2)</f>
        <v>4.0199999999999996</v>
      </c>
      <c r="O24" s="207"/>
      <c r="P24" s="20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24"/>
      <c r="C25" s="204"/>
      <c r="D25" s="204"/>
      <c r="E25" s="204"/>
      <c r="F25" s="41" t="s">
        <v>76</v>
      </c>
      <c r="G25" s="42">
        <f t="shared" ref="G25" si="3">IF(E24&lt;0.125,"NA",IF(0.125&lt;=E24,(0.2*E24)))</f>
        <v>9.6000000000000002E-2</v>
      </c>
      <c r="H25" s="43"/>
      <c r="I25" s="44"/>
      <c r="J25" s="45">
        <v>0.39400000000000002</v>
      </c>
      <c r="K25" s="204"/>
      <c r="L25" s="204"/>
      <c r="M25" s="204"/>
      <c r="N25" s="204"/>
      <c r="O25" s="204"/>
      <c r="P25" s="209"/>
      <c r="Q25" s="27"/>
      <c r="R25" s="93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24"/>
      <c r="C26" s="204"/>
      <c r="D26" s="204"/>
      <c r="E26" s="204"/>
      <c r="F26" s="41" t="s">
        <v>77</v>
      </c>
      <c r="G26" s="42">
        <f t="shared" ref="G26" si="4">+E24*0.4</f>
        <v>0.192</v>
      </c>
      <c r="H26" s="43"/>
      <c r="I26" s="44"/>
      <c r="J26" s="45">
        <v>0.39100000000000001</v>
      </c>
      <c r="K26" s="204"/>
      <c r="L26" s="204"/>
      <c r="M26" s="204"/>
      <c r="N26" s="204"/>
      <c r="O26" s="204"/>
      <c r="P26" s="209"/>
      <c r="Q26" s="27"/>
      <c r="R26" s="93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24"/>
      <c r="C27" s="204"/>
      <c r="D27" s="204"/>
      <c r="E27" s="204"/>
      <c r="F27" s="41" t="s">
        <v>78</v>
      </c>
      <c r="G27" s="42">
        <f t="shared" ref="G27" si="5">IF(E24&lt;0.125,"NA",IF(0.125&lt;=E24,(0.8*E24)))</f>
        <v>0.38400000000000001</v>
      </c>
      <c r="H27" s="43"/>
      <c r="I27" s="44"/>
      <c r="J27" s="45">
        <v>0.48899999999999999</v>
      </c>
      <c r="K27" s="204"/>
      <c r="L27" s="204"/>
      <c r="M27" s="204"/>
      <c r="N27" s="204"/>
      <c r="O27" s="204"/>
      <c r="P27" s="209"/>
      <c r="Q27" s="27"/>
      <c r="R27" s="93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5"/>
      <c r="C28" s="205"/>
      <c r="D28" s="205"/>
      <c r="E28" s="205"/>
      <c r="F28" s="46" t="s">
        <v>79</v>
      </c>
      <c r="G28" s="47">
        <f t="shared" ref="G28" si="6">+E24</f>
        <v>0.48</v>
      </c>
      <c r="H28" s="48"/>
      <c r="I28" s="49"/>
      <c r="J28" s="50">
        <v>0.45</v>
      </c>
      <c r="K28" s="205"/>
      <c r="L28" s="205"/>
      <c r="M28" s="205"/>
      <c r="N28" s="205"/>
      <c r="O28" s="205"/>
      <c r="P28" s="210"/>
      <c r="Q28" s="27"/>
      <c r="R28" s="93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23">
        <v>3</v>
      </c>
      <c r="C29" s="226">
        <f>+C24+$N$12</f>
        <v>7.1</v>
      </c>
      <c r="D29" s="203">
        <v>0.6</v>
      </c>
      <c r="E29" s="203">
        <v>0.12</v>
      </c>
      <c r="F29" s="36" t="s">
        <v>75</v>
      </c>
      <c r="G29" s="37">
        <v>0</v>
      </c>
      <c r="H29" s="38"/>
      <c r="I29" s="39"/>
      <c r="J29" s="40"/>
      <c r="K29" s="203">
        <f t="shared" ref="K29" si="7">+IF(E29&lt;=0.12,(J31),(IF(E29&lt;0.16,((J30+2*J31+J32)/4),IF(E29&gt;=0.16,((J29+3*J30+2*J31+3*J32+J33)/10)))))</f>
        <v>1.1719999999999999</v>
      </c>
      <c r="L29" s="203">
        <f>ROUND(+(D24+D29)/2*(C29-C24),3)</f>
        <v>0.54</v>
      </c>
      <c r="M29" s="203">
        <f t="shared" ref="M29" si="8">ROUND(+K29*L29,4)</f>
        <v>0.63290000000000002</v>
      </c>
      <c r="N29" s="206">
        <f t="shared" ref="N29" si="9">ROUND(+M29/$M$88*100,2)</f>
        <v>13</v>
      </c>
      <c r="O29" s="207"/>
      <c r="P29" s="20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24"/>
      <c r="C30" s="204"/>
      <c r="D30" s="204"/>
      <c r="E30" s="204"/>
      <c r="F30" s="41" t="s">
        <v>76</v>
      </c>
      <c r="G30" s="42" t="str">
        <f t="shared" ref="G30" si="10">IF(E29&lt;0.125,"NA",IF(0.125&lt;=E29,(0.2*E29)))</f>
        <v>NA</v>
      </c>
      <c r="H30" s="43"/>
      <c r="I30" s="44"/>
      <c r="J30" s="45"/>
      <c r="K30" s="204"/>
      <c r="L30" s="204"/>
      <c r="M30" s="204"/>
      <c r="N30" s="204"/>
      <c r="O30" s="204"/>
      <c r="P30" s="209"/>
      <c r="Q30" s="27"/>
      <c r="R30" s="93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24"/>
      <c r="C31" s="204"/>
      <c r="D31" s="204"/>
      <c r="E31" s="204"/>
      <c r="F31" s="41" t="s">
        <v>77</v>
      </c>
      <c r="G31" s="42">
        <f t="shared" ref="G31" si="11">+E29*0.4</f>
        <v>4.8000000000000001E-2</v>
      </c>
      <c r="H31" s="43"/>
      <c r="I31" s="44"/>
      <c r="J31" s="45">
        <v>1.1719999999999999</v>
      </c>
      <c r="K31" s="204"/>
      <c r="L31" s="204"/>
      <c r="M31" s="204"/>
      <c r="N31" s="204"/>
      <c r="O31" s="204"/>
      <c r="P31" s="209"/>
      <c r="Q31" s="27"/>
      <c r="R31" s="93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24"/>
      <c r="C32" s="204"/>
      <c r="D32" s="204"/>
      <c r="E32" s="204"/>
      <c r="F32" s="41" t="s">
        <v>78</v>
      </c>
      <c r="G32" s="42" t="str">
        <f t="shared" ref="G32" si="12">IF(E29&lt;0.125,"NA",IF(0.125&lt;=E29,(0.8*E29)))</f>
        <v>NA</v>
      </c>
      <c r="H32" s="43"/>
      <c r="I32" s="44"/>
      <c r="J32" s="45"/>
      <c r="K32" s="204"/>
      <c r="L32" s="204"/>
      <c r="M32" s="204"/>
      <c r="N32" s="204"/>
      <c r="O32" s="204"/>
      <c r="P32" s="209"/>
      <c r="Q32" s="27"/>
      <c r="R32" s="93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5"/>
      <c r="C33" s="205"/>
      <c r="D33" s="205"/>
      <c r="E33" s="205"/>
      <c r="F33" s="46" t="s">
        <v>79</v>
      </c>
      <c r="G33" s="47">
        <f t="shared" ref="G33" si="13">+E29</f>
        <v>0.12</v>
      </c>
      <c r="H33" s="48"/>
      <c r="I33" s="49"/>
      <c r="J33" s="50"/>
      <c r="K33" s="205"/>
      <c r="L33" s="205"/>
      <c r="M33" s="205"/>
      <c r="N33" s="205"/>
      <c r="O33" s="205"/>
      <c r="P33" s="210"/>
      <c r="Q33" s="27"/>
      <c r="R33" s="93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23">
        <v>4</v>
      </c>
      <c r="C34" s="226">
        <f>+C29+$N$12</f>
        <v>8.1</v>
      </c>
      <c r="D34" s="203">
        <v>0.45</v>
      </c>
      <c r="E34" s="203">
        <v>0.4</v>
      </c>
      <c r="F34" s="36" t="s">
        <v>75</v>
      </c>
      <c r="G34" s="37">
        <v>0</v>
      </c>
      <c r="H34" s="38"/>
      <c r="I34" s="39"/>
      <c r="J34" s="40">
        <v>0.156</v>
      </c>
      <c r="K34" s="203">
        <f t="shared" ref="K34" si="14">+IF(E34&lt;=0.12,(J36),(IF(E34&lt;0.16,((J35+2*J36+J37)/4),IF(E34&gt;=0.16,((J34+3*J35+2*J36+3*J37+J38)/10)))))</f>
        <v>1.0495999999999999</v>
      </c>
      <c r="L34" s="203">
        <f>ROUND(+(D29+D34)/2*(C34-C29),3)</f>
        <v>0.52500000000000002</v>
      </c>
      <c r="M34" s="203">
        <f t="shared" ref="M34" si="15">ROUND(+K34*L34,4)</f>
        <v>0.55100000000000005</v>
      </c>
      <c r="N34" s="206">
        <f t="shared" ref="N34" si="16">ROUND(+M34/$M$88*100,2)</f>
        <v>11.32</v>
      </c>
      <c r="O34" s="207"/>
      <c r="P34" s="20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24"/>
      <c r="C35" s="204"/>
      <c r="D35" s="204"/>
      <c r="E35" s="204"/>
      <c r="F35" s="41" t="s">
        <v>76</v>
      </c>
      <c r="G35" s="42">
        <f t="shared" ref="G35" si="17">IF(E34&lt;0.125,"NA",IF(0.125&lt;=E34,(0.2*E34)))</f>
        <v>8.0000000000000016E-2</v>
      </c>
      <c r="H35" s="43"/>
      <c r="I35" s="44"/>
      <c r="J35" s="45">
        <v>1.046</v>
      </c>
      <c r="K35" s="204"/>
      <c r="L35" s="204"/>
      <c r="M35" s="204"/>
      <c r="N35" s="204"/>
      <c r="O35" s="204"/>
      <c r="P35" s="209"/>
      <c r="Q35" s="27"/>
      <c r="R35" s="93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24"/>
      <c r="C36" s="204"/>
      <c r="D36" s="204"/>
      <c r="E36" s="204"/>
      <c r="F36" s="41" t="s">
        <v>77</v>
      </c>
      <c r="G36" s="42">
        <f t="shared" ref="G36" si="18">+E34*0.4</f>
        <v>0.16000000000000003</v>
      </c>
      <c r="H36" s="43"/>
      <c r="I36" s="44"/>
      <c r="J36" s="45">
        <v>1.0489999999999999</v>
      </c>
      <c r="K36" s="204"/>
      <c r="L36" s="204"/>
      <c r="M36" s="204"/>
      <c r="N36" s="204"/>
      <c r="O36" s="204"/>
      <c r="P36" s="209"/>
      <c r="Q36" s="27"/>
      <c r="R36" s="93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24"/>
      <c r="C37" s="204"/>
      <c r="D37" s="204"/>
      <c r="E37" s="204"/>
      <c r="F37" s="41" t="s">
        <v>78</v>
      </c>
      <c r="G37" s="42">
        <f t="shared" ref="G37" si="19">IF(E34&lt;0.125,"NA",IF(0.125&lt;=E34,(0.8*E34)))</f>
        <v>0.32000000000000006</v>
      </c>
      <c r="H37" s="43"/>
      <c r="I37" s="44"/>
      <c r="J37" s="45">
        <v>1.2769999999999999</v>
      </c>
      <c r="K37" s="204"/>
      <c r="L37" s="204"/>
      <c r="M37" s="204"/>
      <c r="N37" s="204"/>
      <c r="O37" s="204"/>
      <c r="P37" s="209"/>
      <c r="Q37" s="27"/>
      <c r="R37" s="93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5"/>
      <c r="C38" s="205"/>
      <c r="D38" s="205"/>
      <c r="E38" s="205"/>
      <c r="F38" s="46" t="s">
        <v>79</v>
      </c>
      <c r="G38" s="47">
        <f t="shared" ref="G38" si="20">+E34</f>
        <v>0.4</v>
      </c>
      <c r="H38" s="48"/>
      <c r="I38" s="49"/>
      <c r="J38" s="50">
        <v>1.2729999999999999</v>
      </c>
      <c r="K38" s="205"/>
      <c r="L38" s="205"/>
      <c r="M38" s="205"/>
      <c r="N38" s="205"/>
      <c r="O38" s="205"/>
      <c r="P38" s="210"/>
      <c r="Q38" s="27"/>
      <c r="R38" s="93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23">
        <v>5</v>
      </c>
      <c r="C39" s="226">
        <f t="shared" ref="C39" si="21">+C34+$N$12</f>
        <v>9.1</v>
      </c>
      <c r="D39" s="203">
        <v>1</v>
      </c>
      <c r="E39" s="203">
        <v>0.5</v>
      </c>
      <c r="F39" s="36" t="s">
        <v>75</v>
      </c>
      <c r="G39" s="37">
        <v>0</v>
      </c>
      <c r="H39" s="38"/>
      <c r="I39" s="39"/>
      <c r="J39" s="40">
        <v>0.2</v>
      </c>
      <c r="K39" s="203">
        <f t="shared" ref="K39" si="22">+IF(E39&lt;=0.12,(J41),(IF(E39&lt;0.16,((J40+2*J41+J42)/4),IF(E39&gt;=0.16,((J39+3*J40+2*J41+3*J42+J43)/10)))))</f>
        <v>1.1647000000000001</v>
      </c>
      <c r="L39" s="203">
        <f>ROUND(+(D34+D39)/2*(C39-C34),3)</f>
        <v>0.72499999999999998</v>
      </c>
      <c r="M39" s="203">
        <f t="shared" ref="M39" si="23">ROUND(+K39*L39,4)</f>
        <v>0.84440000000000004</v>
      </c>
      <c r="N39" s="206">
        <f t="shared" ref="N39" si="24">ROUND(+M39/$M$88*100,2)</f>
        <v>17.350000000000001</v>
      </c>
      <c r="O39" s="207"/>
      <c r="P39" s="20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24"/>
      <c r="C40" s="204"/>
      <c r="D40" s="204"/>
      <c r="E40" s="204"/>
      <c r="F40" s="41" t="s">
        <v>76</v>
      </c>
      <c r="G40" s="42">
        <f t="shared" ref="G40" si="25">IF(E39&lt;0.125,"NA",IF(0.125&lt;=E39,(0.2*E39)))</f>
        <v>0.1</v>
      </c>
      <c r="H40" s="43"/>
      <c r="I40" s="44"/>
      <c r="J40" s="45">
        <v>1.0569999999999999</v>
      </c>
      <c r="K40" s="204"/>
      <c r="L40" s="204"/>
      <c r="M40" s="204"/>
      <c r="N40" s="204"/>
      <c r="O40" s="204"/>
      <c r="P40" s="209"/>
      <c r="Q40" s="27"/>
      <c r="R40" s="93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24"/>
      <c r="C41" s="204"/>
      <c r="D41" s="204"/>
      <c r="E41" s="204"/>
      <c r="F41" s="41" t="s">
        <v>77</v>
      </c>
      <c r="G41" s="42">
        <f t="shared" ref="G41" si="26">+E39*0.4</f>
        <v>0.2</v>
      </c>
      <c r="H41" s="43"/>
      <c r="I41" s="44"/>
      <c r="J41" s="45">
        <v>1.371</v>
      </c>
      <c r="K41" s="204"/>
      <c r="L41" s="204"/>
      <c r="M41" s="204"/>
      <c r="N41" s="204"/>
      <c r="O41" s="204"/>
      <c r="P41" s="209"/>
      <c r="Q41" s="27"/>
      <c r="R41" s="93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24"/>
      <c r="C42" s="204"/>
      <c r="D42" s="204"/>
      <c r="E42" s="204"/>
      <c r="F42" s="41" t="s">
        <v>78</v>
      </c>
      <c r="G42" s="42">
        <f t="shared" ref="G42" si="27">IF(E39&lt;0.125,"NA",IF(0.125&lt;=E39,(0.8*E39)))</f>
        <v>0.4</v>
      </c>
      <c r="H42" s="43"/>
      <c r="I42" s="44"/>
      <c r="J42" s="45">
        <v>1.3779999999999999</v>
      </c>
      <c r="K42" s="204"/>
      <c r="L42" s="204"/>
      <c r="M42" s="204"/>
      <c r="N42" s="204"/>
      <c r="O42" s="204"/>
      <c r="P42" s="209"/>
      <c r="Q42" s="27"/>
      <c r="R42" s="93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5"/>
      <c r="C43" s="205"/>
      <c r="D43" s="205"/>
      <c r="E43" s="205"/>
      <c r="F43" s="46" t="s">
        <v>79</v>
      </c>
      <c r="G43" s="47">
        <f t="shared" ref="G43" si="28">+E39</f>
        <v>0.5</v>
      </c>
      <c r="H43" s="48"/>
      <c r="I43" s="49"/>
      <c r="J43" s="50">
        <v>1.4</v>
      </c>
      <c r="K43" s="205"/>
      <c r="L43" s="205"/>
      <c r="M43" s="205"/>
      <c r="N43" s="205"/>
      <c r="O43" s="205"/>
      <c r="P43" s="210"/>
      <c r="Q43" s="27"/>
      <c r="R43" s="93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23">
        <v>6</v>
      </c>
      <c r="C44" s="226">
        <f t="shared" ref="C44" si="29">+C39+$N$12</f>
        <v>10.1</v>
      </c>
      <c r="D44" s="203">
        <v>0.85</v>
      </c>
      <c r="E44" s="203">
        <v>0.9</v>
      </c>
      <c r="F44" s="36" t="s">
        <v>75</v>
      </c>
      <c r="G44" s="37">
        <v>0</v>
      </c>
      <c r="H44" s="38"/>
      <c r="I44" s="39"/>
      <c r="J44" s="40"/>
      <c r="K44" s="203"/>
      <c r="L44" s="203"/>
      <c r="M44" s="203"/>
      <c r="N44" s="206"/>
      <c r="O44" s="207"/>
      <c r="P44" s="20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24"/>
      <c r="C45" s="204"/>
      <c r="D45" s="204"/>
      <c r="E45" s="204"/>
      <c r="F45" s="41" t="s">
        <v>76</v>
      </c>
      <c r="G45" s="42">
        <f t="shared" ref="G45" si="30">IF(E44&lt;0.125,"NA",IF(0.125&lt;=E44,(0.2*E44)))</f>
        <v>0.18000000000000002</v>
      </c>
      <c r="H45" s="43"/>
      <c r="I45" s="44"/>
      <c r="J45" s="45"/>
      <c r="K45" s="204"/>
      <c r="L45" s="204"/>
      <c r="M45" s="204"/>
      <c r="N45" s="204"/>
      <c r="O45" s="204"/>
      <c r="P45" s="20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24"/>
      <c r="C46" s="204"/>
      <c r="D46" s="204"/>
      <c r="E46" s="204"/>
      <c r="F46" s="41" t="s">
        <v>77</v>
      </c>
      <c r="G46" s="42">
        <f t="shared" ref="G46" si="31">+E44*0.4</f>
        <v>0.36000000000000004</v>
      </c>
      <c r="H46" s="43"/>
      <c r="I46" s="44"/>
      <c r="J46" s="45"/>
      <c r="K46" s="204"/>
      <c r="L46" s="204"/>
      <c r="M46" s="204"/>
      <c r="N46" s="204"/>
      <c r="O46" s="204"/>
      <c r="P46" s="20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24"/>
      <c r="C47" s="204"/>
      <c r="D47" s="204"/>
      <c r="E47" s="204"/>
      <c r="F47" s="41" t="s">
        <v>78</v>
      </c>
      <c r="G47" s="42">
        <f t="shared" ref="G47" si="32">IF(E44&lt;0.125,"NA",IF(0.125&lt;=E44,(0.8*E44)))</f>
        <v>0.72000000000000008</v>
      </c>
      <c r="H47" s="43"/>
      <c r="I47" s="44"/>
      <c r="J47" s="45"/>
      <c r="K47" s="204"/>
      <c r="L47" s="204"/>
      <c r="M47" s="204"/>
      <c r="N47" s="204"/>
      <c r="O47" s="204"/>
      <c r="P47" s="20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5"/>
      <c r="C48" s="205"/>
      <c r="D48" s="205"/>
      <c r="E48" s="205"/>
      <c r="F48" s="46" t="s">
        <v>79</v>
      </c>
      <c r="G48" s="47">
        <f t="shared" ref="G48" si="33">+E44</f>
        <v>0.9</v>
      </c>
      <c r="H48" s="48"/>
      <c r="I48" s="49"/>
      <c r="J48" s="50"/>
      <c r="K48" s="205"/>
      <c r="L48" s="205"/>
      <c r="M48" s="205"/>
      <c r="N48" s="205"/>
      <c r="O48" s="205"/>
      <c r="P48" s="21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23">
        <v>7</v>
      </c>
      <c r="C49" s="226">
        <f t="shared" ref="C49" si="34">+C44+$N$12</f>
        <v>11.1</v>
      </c>
      <c r="D49" s="203">
        <v>0.6</v>
      </c>
      <c r="E49" s="203">
        <v>0.73</v>
      </c>
      <c r="F49" s="36" t="s">
        <v>75</v>
      </c>
      <c r="G49" s="37">
        <v>0</v>
      </c>
      <c r="H49" s="38"/>
      <c r="I49" s="39"/>
      <c r="J49" s="40">
        <v>0.3</v>
      </c>
      <c r="K49" s="203">
        <f t="shared" ref="K49" si="35">+IF(E49&lt;=0.12,(J51),(IF(E49&lt;0.16,((J50+2*J51+J52)/4),IF(E49&gt;=0.16,((J49+3*J50+2*J51+3*J52+J53)/10)))))</f>
        <v>0.93940000000000001</v>
      </c>
      <c r="L49" s="203">
        <f>ROUND(+(D44+D49)/2*(C49-C44),3)</f>
        <v>0.72499999999999998</v>
      </c>
      <c r="M49" s="203">
        <f t="shared" ref="M49" si="36">ROUND(+K49*L49,4)</f>
        <v>0.68110000000000004</v>
      </c>
      <c r="N49" s="206">
        <f t="shared" ref="N49" si="37">ROUND(+M49/$M$88*100,2)</f>
        <v>13.99</v>
      </c>
      <c r="O49" s="207"/>
      <c r="P49" s="20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24"/>
      <c r="C50" s="204"/>
      <c r="D50" s="204"/>
      <c r="E50" s="204"/>
      <c r="F50" s="41" t="s">
        <v>76</v>
      </c>
      <c r="G50" s="42">
        <f t="shared" ref="G50" si="38">IF(E49&lt;0.125,"NA",IF(0.125&lt;=E49,(0.2*E49)))</f>
        <v>0.14599999999999999</v>
      </c>
      <c r="H50" s="43"/>
      <c r="I50" s="44"/>
      <c r="J50" s="45">
        <v>0.68</v>
      </c>
      <c r="K50" s="204"/>
      <c r="L50" s="204"/>
      <c r="M50" s="204"/>
      <c r="N50" s="204"/>
      <c r="O50" s="204"/>
      <c r="P50" s="209"/>
      <c r="Q50" s="27"/>
      <c r="R50" s="93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24"/>
      <c r="C51" s="204"/>
      <c r="D51" s="204"/>
      <c r="E51" s="204"/>
      <c r="F51" s="41" t="s">
        <v>77</v>
      </c>
      <c r="G51" s="42">
        <f t="shared" ref="G51" si="39">+E49*0.4</f>
        <v>0.29199999999999998</v>
      </c>
      <c r="H51" s="43"/>
      <c r="I51" s="44"/>
      <c r="J51" s="45">
        <v>0.98499999999999999</v>
      </c>
      <c r="K51" s="204"/>
      <c r="L51" s="204"/>
      <c r="M51" s="204"/>
      <c r="N51" s="204"/>
      <c r="O51" s="204"/>
      <c r="P51" s="209"/>
      <c r="Q51" s="27"/>
      <c r="R51" s="93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24"/>
      <c r="C52" s="204"/>
      <c r="D52" s="204"/>
      <c r="E52" s="204"/>
      <c r="F52" s="41" t="s">
        <v>78</v>
      </c>
      <c r="G52" s="42">
        <f t="shared" ref="G52" si="40">IF(E49&lt;0.125,"NA",IF(0.125&lt;=E49,(0.8*E49)))</f>
        <v>0.58399999999999996</v>
      </c>
      <c r="H52" s="43"/>
      <c r="I52" s="44"/>
      <c r="J52" s="45">
        <v>1.278</v>
      </c>
      <c r="K52" s="204"/>
      <c r="L52" s="204"/>
      <c r="M52" s="204"/>
      <c r="N52" s="204"/>
      <c r="O52" s="204"/>
      <c r="P52" s="209"/>
      <c r="Q52" s="27"/>
      <c r="R52" s="93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5"/>
      <c r="C53" s="205"/>
      <c r="D53" s="205"/>
      <c r="E53" s="205"/>
      <c r="F53" s="46" t="s">
        <v>79</v>
      </c>
      <c r="G53" s="47">
        <f t="shared" ref="G53" si="41">+E49</f>
        <v>0.73</v>
      </c>
      <c r="H53" s="48"/>
      <c r="I53" s="49"/>
      <c r="J53" s="50">
        <v>1.25</v>
      </c>
      <c r="K53" s="205"/>
      <c r="L53" s="205"/>
      <c r="M53" s="205"/>
      <c r="N53" s="205"/>
      <c r="O53" s="205"/>
      <c r="P53" s="210"/>
      <c r="Q53" s="27"/>
      <c r="R53" s="93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23">
        <v>8</v>
      </c>
      <c r="C54" s="226">
        <f>+C49+$N$12</f>
        <v>12.1</v>
      </c>
      <c r="D54" s="203">
        <v>0.55000000000000004</v>
      </c>
      <c r="E54" s="203">
        <v>0.63</v>
      </c>
      <c r="F54" s="36" t="s">
        <v>75</v>
      </c>
      <c r="G54" s="37">
        <v>0</v>
      </c>
      <c r="H54" s="38"/>
      <c r="I54" s="39"/>
      <c r="J54" s="40">
        <v>0.16500000000000001</v>
      </c>
      <c r="K54" s="203">
        <f t="shared" ref="K54" si="42">+IF(E54&lt;=0.12,(J56),(IF(E54&lt;0.16,((J55+2*J56+J57)/4),IF(E54&gt;=0.16,((J54+3*J55+2*J56+3*J57+J58)/10)))))</f>
        <v>0.8488</v>
      </c>
      <c r="L54" s="203">
        <f>ROUND(+(D49+D54)/2*(C54-C49),3)</f>
        <v>0.57499999999999996</v>
      </c>
      <c r="M54" s="203">
        <f t="shared" ref="M54" si="43">ROUND(+K54*L54,4)</f>
        <v>0.48809999999999998</v>
      </c>
      <c r="N54" s="206">
        <f t="shared" ref="N54" si="44">ROUND(+M54/$M$88*100,2)</f>
        <v>10.029999999999999</v>
      </c>
      <c r="O54" s="207"/>
      <c r="P54" s="20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24"/>
      <c r="C55" s="204"/>
      <c r="D55" s="204"/>
      <c r="E55" s="204"/>
      <c r="F55" s="41" t="s">
        <v>76</v>
      </c>
      <c r="G55" s="42">
        <f t="shared" ref="G55" si="45">IF(E54&lt;0.125,"NA",IF(0.125&lt;=E54,(0.2*E54)))</f>
        <v>0.126</v>
      </c>
      <c r="H55" s="43"/>
      <c r="I55" s="44"/>
      <c r="J55" s="45">
        <v>0.53600000000000003</v>
      </c>
      <c r="K55" s="204"/>
      <c r="L55" s="204"/>
      <c r="M55" s="204"/>
      <c r="N55" s="204"/>
      <c r="O55" s="204"/>
      <c r="P55" s="209"/>
      <c r="Q55" s="27"/>
      <c r="R55" s="93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24"/>
      <c r="C56" s="204"/>
      <c r="D56" s="204"/>
      <c r="E56" s="204"/>
      <c r="F56" s="41" t="s">
        <v>77</v>
      </c>
      <c r="G56" s="42">
        <f t="shared" ref="G56" si="46">+E54*0.4</f>
        <v>0.252</v>
      </c>
      <c r="H56" s="43"/>
      <c r="I56" s="44"/>
      <c r="J56" s="45">
        <v>1.022</v>
      </c>
      <c r="K56" s="204"/>
      <c r="L56" s="204"/>
      <c r="M56" s="204"/>
      <c r="N56" s="204"/>
      <c r="O56" s="204"/>
      <c r="P56" s="209"/>
      <c r="Q56" s="27"/>
      <c r="R56" s="93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24"/>
      <c r="C57" s="204"/>
      <c r="D57" s="204"/>
      <c r="E57" s="204"/>
      <c r="F57" s="41" t="s">
        <v>78</v>
      </c>
      <c r="G57" s="42">
        <f t="shared" ref="G57" si="47">IF(E54&lt;0.125,"NA",IF(0.125&lt;=E54,(0.8*E54)))</f>
        <v>0.504</v>
      </c>
      <c r="H57" s="43"/>
      <c r="I57" s="44"/>
      <c r="J57" s="45">
        <v>1.1619999999999999</v>
      </c>
      <c r="K57" s="204"/>
      <c r="L57" s="204"/>
      <c r="M57" s="204"/>
      <c r="N57" s="204"/>
      <c r="O57" s="204"/>
      <c r="P57" s="209"/>
      <c r="Q57" s="27"/>
      <c r="R57" s="93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5"/>
      <c r="C58" s="205"/>
      <c r="D58" s="205"/>
      <c r="E58" s="205"/>
      <c r="F58" s="46" t="s">
        <v>79</v>
      </c>
      <c r="G58" s="47">
        <f t="shared" ref="G58" si="48">+E54</f>
        <v>0.63</v>
      </c>
      <c r="H58" s="48"/>
      <c r="I58" s="49"/>
      <c r="J58" s="50">
        <v>1.1850000000000001</v>
      </c>
      <c r="K58" s="205"/>
      <c r="L58" s="205"/>
      <c r="M58" s="205"/>
      <c r="N58" s="205"/>
      <c r="O58" s="205"/>
      <c r="P58" s="210"/>
      <c r="Q58" s="27"/>
      <c r="R58" s="93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23">
        <v>9</v>
      </c>
      <c r="C59" s="226">
        <f t="shared" ref="C59" si="49">+C54+$N$12</f>
        <v>13.1</v>
      </c>
      <c r="D59" s="203">
        <v>0.44</v>
      </c>
      <c r="E59" s="203">
        <v>0.48</v>
      </c>
      <c r="F59" s="36" t="s">
        <v>75</v>
      </c>
      <c r="G59" s="37">
        <v>0</v>
      </c>
      <c r="H59" s="38"/>
      <c r="I59" s="39"/>
      <c r="J59" s="40">
        <v>0.108</v>
      </c>
      <c r="K59" s="203">
        <f t="shared" ref="K59" si="50">+IF(E59&lt;=0.12,(J61),(IF(E59&lt;0.16,((J60+2*J61+J62)/4),IF(E59&gt;=0.16,((J59+3*J60+2*J61+3*J62+J63)/10)))))</f>
        <v>0.65480000000000005</v>
      </c>
      <c r="L59" s="203">
        <f>ROUND(+(D54+D59)/2*(C59-C54),3)</f>
        <v>0.495</v>
      </c>
      <c r="M59" s="203">
        <f t="shared" ref="M59" si="51">ROUND(+K59*L59,4)</f>
        <v>0.3241</v>
      </c>
      <c r="N59" s="206">
        <f t="shared" ref="N59" si="52">ROUND(+M59/$M$88*100,2)</f>
        <v>6.66</v>
      </c>
      <c r="O59" s="207"/>
      <c r="P59" s="20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24"/>
      <c r="C60" s="204"/>
      <c r="D60" s="204"/>
      <c r="E60" s="204"/>
      <c r="F60" s="41" t="s">
        <v>76</v>
      </c>
      <c r="G60" s="42">
        <f t="shared" ref="G60" si="53">IF(E59&lt;0.125,"NA",IF(0.125&lt;=E59,(0.2*E59)))</f>
        <v>9.6000000000000002E-2</v>
      </c>
      <c r="H60" s="43"/>
      <c r="I60" s="44"/>
      <c r="J60" s="45">
        <v>0.56699999999999995</v>
      </c>
      <c r="K60" s="204"/>
      <c r="L60" s="204"/>
      <c r="M60" s="204"/>
      <c r="N60" s="204"/>
      <c r="O60" s="204"/>
      <c r="P60" s="209"/>
      <c r="Q60" s="27"/>
      <c r="R60" s="93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24"/>
      <c r="C61" s="204"/>
      <c r="D61" s="204"/>
      <c r="E61" s="204"/>
      <c r="F61" s="41" t="s">
        <v>77</v>
      </c>
      <c r="G61" s="42">
        <f t="shared" ref="G61" si="54">+E59*0.4</f>
        <v>0.192</v>
      </c>
      <c r="H61" s="43"/>
      <c r="I61" s="44"/>
      <c r="J61" s="45">
        <v>0.79800000000000004</v>
      </c>
      <c r="K61" s="204"/>
      <c r="L61" s="204"/>
      <c r="M61" s="204"/>
      <c r="N61" s="204"/>
      <c r="O61" s="204"/>
      <c r="P61" s="209"/>
      <c r="Q61" s="27"/>
      <c r="R61" s="93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24"/>
      <c r="C62" s="204"/>
      <c r="D62" s="204"/>
      <c r="E62" s="204"/>
      <c r="F62" s="41" t="s">
        <v>78</v>
      </c>
      <c r="G62" s="42">
        <f t="shared" ref="G62" si="55">IF(E59&lt;0.125,"NA",IF(0.125&lt;=E59,(0.8*E59)))</f>
        <v>0.38400000000000001</v>
      </c>
      <c r="H62" s="43"/>
      <c r="I62" s="44"/>
      <c r="J62" s="45">
        <v>0.78900000000000003</v>
      </c>
      <c r="K62" s="204"/>
      <c r="L62" s="204"/>
      <c r="M62" s="204"/>
      <c r="N62" s="204"/>
      <c r="O62" s="204"/>
      <c r="P62" s="209"/>
      <c r="Q62" s="27"/>
      <c r="R62" s="93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5"/>
      <c r="C63" s="205"/>
      <c r="D63" s="205"/>
      <c r="E63" s="205"/>
      <c r="F63" s="46" t="s">
        <v>79</v>
      </c>
      <c r="G63" s="47">
        <f t="shared" ref="G63" si="56">+E59</f>
        <v>0.48</v>
      </c>
      <c r="H63" s="48"/>
      <c r="I63" s="49"/>
      <c r="J63" s="50">
        <v>0.77600000000000002</v>
      </c>
      <c r="K63" s="205"/>
      <c r="L63" s="205"/>
      <c r="M63" s="205"/>
      <c r="N63" s="205"/>
      <c r="O63" s="205"/>
      <c r="P63" s="210"/>
      <c r="Q63" s="27"/>
      <c r="R63" s="93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23">
        <v>10</v>
      </c>
      <c r="C64" s="226">
        <f>+C59+1.5</f>
        <v>14.6</v>
      </c>
      <c r="D64" s="203">
        <v>0.56999999999999995</v>
      </c>
      <c r="E64" s="203">
        <v>0.43</v>
      </c>
      <c r="F64" s="36" t="s">
        <v>75</v>
      </c>
      <c r="G64" s="37">
        <v>0</v>
      </c>
      <c r="H64" s="38"/>
      <c r="I64" s="39"/>
      <c r="J64" s="40">
        <v>2.5000000000000001E-2</v>
      </c>
      <c r="K64" s="203">
        <f t="shared" ref="K64" si="57">+IF(E64&lt;=0.12,(J66),(IF(E64&lt;0.16,((J65+2*J66+J67)/4),IF(E64&gt;=0.16,((J64+3*J65+2*J66+3*J67+J68)/10)))))</f>
        <v>0.36059999999999998</v>
      </c>
      <c r="L64" s="203">
        <f>ROUND(+(D59+D64)/2*(C64-C59),3)</f>
        <v>0.75800000000000001</v>
      </c>
      <c r="M64" s="203">
        <f>ROUND(+K64*L64,4)</f>
        <v>0.27329999999999999</v>
      </c>
      <c r="N64" s="206">
        <f t="shared" ref="N64" si="58">ROUND(+M64/$M$88*100,2)</f>
        <v>5.61</v>
      </c>
      <c r="O64" s="207"/>
      <c r="P64" s="20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24"/>
      <c r="C65" s="204"/>
      <c r="D65" s="204"/>
      <c r="E65" s="204"/>
      <c r="F65" s="41" t="s">
        <v>76</v>
      </c>
      <c r="G65" s="42">
        <f t="shared" ref="G65" si="59">IF(E64&lt;0.125,"NA",IF(0.125&lt;=E64,(0.2*E64)))</f>
        <v>8.6000000000000007E-2</v>
      </c>
      <c r="H65" s="43"/>
      <c r="I65" s="44"/>
      <c r="J65" s="45">
        <v>0.249</v>
      </c>
      <c r="K65" s="204"/>
      <c r="L65" s="204"/>
      <c r="M65" s="204"/>
      <c r="N65" s="204"/>
      <c r="O65" s="204"/>
      <c r="P65" s="209"/>
      <c r="Q65" s="27"/>
      <c r="R65" s="93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24"/>
      <c r="C66" s="204"/>
      <c r="D66" s="204"/>
      <c r="E66" s="204"/>
      <c r="F66" s="41" t="s">
        <v>77</v>
      </c>
      <c r="G66" s="42">
        <f t="shared" ref="G66" si="60">+E64*0.4</f>
        <v>0.17200000000000001</v>
      </c>
      <c r="H66" s="43"/>
      <c r="I66" s="44"/>
      <c r="J66" s="45">
        <v>0.44700000000000001</v>
      </c>
      <c r="K66" s="204"/>
      <c r="L66" s="204"/>
      <c r="M66" s="204"/>
      <c r="N66" s="204"/>
      <c r="O66" s="204"/>
      <c r="P66" s="209"/>
      <c r="Q66" s="27"/>
      <c r="R66" s="93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24"/>
      <c r="C67" s="204"/>
      <c r="D67" s="204"/>
      <c r="E67" s="204"/>
      <c r="F67" s="41" t="s">
        <v>78</v>
      </c>
      <c r="G67" s="42">
        <f t="shared" ref="G67" si="61">IF(E64&lt;0.125,"NA",IF(0.125&lt;=E64,(0.8*E64)))</f>
        <v>0.34400000000000003</v>
      </c>
      <c r="H67" s="43"/>
      <c r="I67" s="44"/>
      <c r="J67" s="45">
        <v>0.49</v>
      </c>
      <c r="K67" s="204"/>
      <c r="L67" s="204"/>
      <c r="M67" s="204"/>
      <c r="N67" s="204"/>
      <c r="O67" s="204"/>
      <c r="P67" s="209"/>
      <c r="Q67" s="27"/>
      <c r="R67" s="93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5"/>
      <c r="C68" s="205"/>
      <c r="D68" s="205"/>
      <c r="E68" s="205"/>
      <c r="F68" s="46" t="s">
        <v>79</v>
      </c>
      <c r="G68" s="47">
        <f t="shared" ref="G68" si="62">+E64</f>
        <v>0.43</v>
      </c>
      <c r="H68" s="48"/>
      <c r="I68" s="49"/>
      <c r="J68" s="50">
        <v>0.47</v>
      </c>
      <c r="K68" s="205"/>
      <c r="L68" s="205"/>
      <c r="M68" s="205"/>
      <c r="N68" s="205"/>
      <c r="O68" s="205"/>
      <c r="P68" s="210"/>
      <c r="Q68" s="27"/>
      <c r="R68" s="93"/>
      <c r="S68" s="27"/>
      <c r="T68" s="27"/>
      <c r="U68" s="27"/>
      <c r="V68" s="27"/>
      <c r="W68" s="27"/>
      <c r="X68" s="27"/>
      <c r="Y68" s="27"/>
      <c r="Z68" s="27"/>
    </row>
    <row r="69" spans="1:26" s="3" customFormat="1" ht="13.5" customHeight="1" x14ac:dyDescent="0.2">
      <c r="B69" s="211" t="s">
        <v>28</v>
      </c>
      <c r="C69" s="214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6"/>
    </row>
    <row r="70" spans="1:26" s="3" customFormat="1" ht="14.1" customHeight="1" x14ac:dyDescent="0.2">
      <c r="B70" s="212"/>
      <c r="C70" s="217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9"/>
    </row>
    <row r="71" spans="1:26" s="3" customFormat="1" ht="14.1" customHeight="1" x14ac:dyDescent="0.2">
      <c r="B71" s="212"/>
      <c r="C71" s="217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9"/>
    </row>
    <row r="72" spans="1:26" s="3" customFormat="1" ht="14.1" customHeight="1" x14ac:dyDescent="0.2">
      <c r="B72" s="212"/>
      <c r="C72" s="217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9"/>
    </row>
    <row r="73" spans="1:26" s="3" customFormat="1" ht="14.1" customHeight="1" x14ac:dyDescent="0.2">
      <c r="B73" s="212"/>
      <c r="C73" s="217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9"/>
    </row>
    <row r="74" spans="1:26" s="3" customFormat="1" ht="14.1" customHeight="1" thickBot="1" x14ac:dyDescent="0.25">
      <c r="B74" s="213"/>
      <c r="C74" s="220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2"/>
    </row>
    <row r="75" spans="1:26" s="3" customFormat="1" ht="28.5" customHeight="1" thickBot="1" x14ac:dyDescent="0.25">
      <c r="A75" s="51"/>
      <c r="B75" s="52" t="s">
        <v>80</v>
      </c>
      <c r="C75" s="190" t="s">
        <v>81</v>
      </c>
      <c r="D75" s="190"/>
      <c r="E75" s="190"/>
      <c r="F75" s="190"/>
      <c r="G75" s="190"/>
      <c r="H75" s="191"/>
      <c r="I75" s="192"/>
      <c r="J75" s="52" t="s">
        <v>82</v>
      </c>
      <c r="K75" s="190" t="s">
        <v>83</v>
      </c>
      <c r="L75" s="190"/>
      <c r="M75" s="190"/>
      <c r="N75" s="190"/>
      <c r="O75" s="190"/>
      <c r="P75" s="191"/>
    </row>
    <row r="76" spans="1:26" s="3" customFormat="1" ht="28.5" customHeight="1" thickBot="1" x14ac:dyDescent="0.25">
      <c r="B76" s="53" t="s">
        <v>84</v>
      </c>
      <c r="C76" s="194" t="s">
        <v>85</v>
      </c>
      <c r="D76" s="194"/>
      <c r="E76" s="194"/>
      <c r="F76" s="194"/>
      <c r="G76" s="194"/>
      <c r="H76" s="195"/>
      <c r="I76" s="193"/>
      <c r="J76" s="53" t="s">
        <v>86</v>
      </c>
      <c r="K76" s="194" t="s">
        <v>87</v>
      </c>
      <c r="L76" s="194"/>
      <c r="M76" s="194"/>
      <c r="N76" s="194"/>
      <c r="O76" s="194"/>
      <c r="P76" s="195"/>
    </row>
    <row r="77" spans="1:26" s="94" customFormat="1" ht="13.5" customHeight="1" x14ac:dyDescent="0.25">
      <c r="A77" s="54"/>
      <c r="B77" s="328">
        <f>+B44</f>
        <v>6</v>
      </c>
      <c r="C77" s="331">
        <f>+C39</f>
        <v>9.1</v>
      </c>
      <c r="D77" s="333">
        <f>+D39</f>
        <v>1</v>
      </c>
      <c r="E77" s="333">
        <f>+E44</f>
        <v>0.9</v>
      </c>
      <c r="F77" s="99" t="s">
        <v>75</v>
      </c>
      <c r="G77" s="99">
        <v>0.01</v>
      </c>
      <c r="H77" s="100"/>
      <c r="I77" s="101"/>
      <c r="J77" s="102">
        <v>0.12</v>
      </c>
      <c r="K77" s="334">
        <f>+AVERAGE(J77:J87)</f>
        <v>0.82318181818181813</v>
      </c>
      <c r="L77" s="319">
        <f>ROUND(+(D77+D82)/2*(C82-C77),3)</f>
        <v>0.92500000000000004</v>
      </c>
      <c r="M77" s="322">
        <f>ROUND(+K77*L77,4)</f>
        <v>0.76139999999999997</v>
      </c>
      <c r="N77" s="319">
        <f>ROUND(+M77/$M$88*100,2)</f>
        <v>15.64</v>
      </c>
      <c r="O77" s="319"/>
      <c r="P77" s="323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s="94" customFormat="1" ht="13.5" customHeight="1" x14ac:dyDescent="0.25">
      <c r="A78" s="54"/>
      <c r="B78" s="329"/>
      <c r="C78" s="320"/>
      <c r="D78" s="320"/>
      <c r="E78" s="320"/>
      <c r="F78" s="103" t="s">
        <v>88</v>
      </c>
      <c r="G78" s="104">
        <f>+E77*0.1</f>
        <v>9.0000000000000011E-2</v>
      </c>
      <c r="H78" s="105"/>
      <c r="I78" s="106"/>
      <c r="J78" s="107">
        <v>0.5</v>
      </c>
      <c r="K78" s="320"/>
      <c r="L78" s="320"/>
      <c r="M78" s="320"/>
      <c r="N78" s="320"/>
      <c r="O78" s="320"/>
      <c r="P78" s="324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s="94" customFormat="1" ht="13.5" customHeight="1" x14ac:dyDescent="0.25">
      <c r="A79" s="54"/>
      <c r="B79" s="329"/>
      <c r="C79" s="320"/>
      <c r="D79" s="320"/>
      <c r="E79" s="320"/>
      <c r="F79" s="103" t="s">
        <v>89</v>
      </c>
      <c r="G79" s="104">
        <f>+E77*0.2</f>
        <v>0.18000000000000002</v>
      </c>
      <c r="H79" s="105"/>
      <c r="I79" s="106"/>
      <c r="J79" s="107">
        <v>0.65900000000000003</v>
      </c>
      <c r="K79" s="320"/>
      <c r="L79" s="320"/>
      <c r="M79" s="320"/>
      <c r="N79" s="320"/>
      <c r="O79" s="320"/>
      <c r="P79" s="324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s="94" customFormat="1" ht="13.5" customHeight="1" x14ac:dyDescent="0.25">
      <c r="A80" s="54"/>
      <c r="B80" s="329"/>
      <c r="C80" s="320"/>
      <c r="D80" s="320"/>
      <c r="E80" s="320"/>
      <c r="F80" s="103" t="s">
        <v>90</v>
      </c>
      <c r="G80" s="104">
        <f>+E77*0.3</f>
        <v>0.27</v>
      </c>
      <c r="H80" s="105"/>
      <c r="I80" s="106"/>
      <c r="J80" s="107">
        <v>0.68</v>
      </c>
      <c r="K80" s="320"/>
      <c r="L80" s="320"/>
      <c r="M80" s="320"/>
      <c r="N80" s="320"/>
      <c r="O80" s="320"/>
      <c r="P80" s="324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s="94" customFormat="1" ht="13.5" customHeight="1" x14ac:dyDescent="0.25">
      <c r="A81" s="54"/>
      <c r="B81" s="329"/>
      <c r="C81" s="332"/>
      <c r="D81" s="332"/>
      <c r="E81" s="320"/>
      <c r="F81" s="103" t="s">
        <v>91</v>
      </c>
      <c r="G81" s="104">
        <f>+E77*0.4</f>
        <v>0.36000000000000004</v>
      </c>
      <c r="H81" s="105"/>
      <c r="I81" s="106"/>
      <c r="J81" s="107">
        <v>0.78200000000000003</v>
      </c>
      <c r="K81" s="320"/>
      <c r="L81" s="320"/>
      <c r="M81" s="320"/>
      <c r="N81" s="320"/>
      <c r="O81" s="320"/>
      <c r="P81" s="324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s="94" customFormat="1" ht="13.5" customHeight="1" x14ac:dyDescent="0.25">
      <c r="A82" s="54"/>
      <c r="B82" s="329"/>
      <c r="C82" s="326">
        <f>+C44</f>
        <v>10.1</v>
      </c>
      <c r="D82" s="327">
        <f>+D44</f>
        <v>0.85</v>
      </c>
      <c r="E82" s="320"/>
      <c r="F82" s="103" t="s">
        <v>29</v>
      </c>
      <c r="G82" s="104">
        <f>+E77*0.5</f>
        <v>0.45</v>
      </c>
      <c r="H82" s="105"/>
      <c r="I82" s="106"/>
      <c r="J82" s="107">
        <v>1.0149999999999999</v>
      </c>
      <c r="K82" s="320"/>
      <c r="L82" s="320"/>
      <c r="M82" s="320"/>
      <c r="N82" s="320"/>
      <c r="O82" s="320"/>
      <c r="P82" s="324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s="94" customFormat="1" ht="13.5" customHeight="1" x14ac:dyDescent="0.25">
      <c r="A83" s="54"/>
      <c r="B83" s="329"/>
      <c r="C83" s="320"/>
      <c r="D83" s="320"/>
      <c r="E83" s="320"/>
      <c r="F83" s="103" t="s">
        <v>92</v>
      </c>
      <c r="G83" s="104">
        <f>+E77*0.6</f>
        <v>0.54</v>
      </c>
      <c r="H83" s="105"/>
      <c r="I83" s="106"/>
      <c r="J83" s="107">
        <v>1.069</v>
      </c>
      <c r="K83" s="320"/>
      <c r="L83" s="320"/>
      <c r="M83" s="320"/>
      <c r="N83" s="320"/>
      <c r="O83" s="320"/>
      <c r="P83" s="324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s="94" customFormat="1" ht="13.5" customHeight="1" x14ac:dyDescent="0.25">
      <c r="A84" s="54"/>
      <c r="B84" s="329"/>
      <c r="C84" s="320"/>
      <c r="D84" s="320"/>
      <c r="E84" s="320"/>
      <c r="F84" s="103" t="s">
        <v>93</v>
      </c>
      <c r="G84" s="104">
        <f>+E77*0.7</f>
        <v>0.63</v>
      </c>
      <c r="H84" s="105"/>
      <c r="I84" s="106"/>
      <c r="J84" s="107">
        <v>0.17100000000000001</v>
      </c>
      <c r="K84" s="320"/>
      <c r="L84" s="320"/>
      <c r="M84" s="320"/>
      <c r="N84" s="320"/>
      <c r="O84" s="320"/>
      <c r="P84" s="324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s="94" customFormat="1" ht="13.5" customHeight="1" x14ac:dyDescent="0.25">
      <c r="A85" s="54"/>
      <c r="B85" s="329"/>
      <c r="C85" s="320"/>
      <c r="D85" s="320"/>
      <c r="E85" s="320"/>
      <c r="F85" s="103" t="s">
        <v>94</v>
      </c>
      <c r="G85" s="104">
        <f>+E77*0.8</f>
        <v>0.72000000000000008</v>
      </c>
      <c r="H85" s="105"/>
      <c r="I85" s="106"/>
      <c r="J85" s="107">
        <v>1.276</v>
      </c>
      <c r="K85" s="320"/>
      <c r="L85" s="320"/>
      <c r="M85" s="320"/>
      <c r="N85" s="320"/>
      <c r="O85" s="320"/>
      <c r="P85" s="324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s="94" customFormat="1" ht="13.5" customHeight="1" x14ac:dyDescent="0.25">
      <c r="A86" s="54"/>
      <c r="B86" s="329"/>
      <c r="C86" s="320"/>
      <c r="D86" s="320"/>
      <c r="E86" s="320"/>
      <c r="F86" s="103" t="s">
        <v>95</v>
      </c>
      <c r="G86" s="104">
        <f>+E77*0.9</f>
        <v>0.81</v>
      </c>
      <c r="H86" s="105"/>
      <c r="I86" s="106"/>
      <c r="J86" s="107">
        <v>1.39</v>
      </c>
      <c r="K86" s="320"/>
      <c r="L86" s="320"/>
      <c r="M86" s="320"/>
      <c r="N86" s="320"/>
      <c r="O86" s="320"/>
      <c r="P86" s="324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s="94" customFormat="1" ht="15.75" thickBot="1" x14ac:dyDescent="0.3">
      <c r="A87" s="54"/>
      <c r="B87" s="330"/>
      <c r="C87" s="321"/>
      <c r="D87" s="321"/>
      <c r="E87" s="321"/>
      <c r="F87" s="108" t="s">
        <v>30</v>
      </c>
      <c r="G87" s="108">
        <f>+E77</f>
        <v>0.9</v>
      </c>
      <c r="H87" s="109"/>
      <c r="I87" s="110"/>
      <c r="J87" s="111">
        <v>1.393</v>
      </c>
      <c r="K87" s="321"/>
      <c r="L87" s="321"/>
      <c r="M87" s="321"/>
      <c r="N87" s="321"/>
      <c r="O87" s="321"/>
      <c r="P87" s="325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3" customFormat="1" ht="12.75" x14ac:dyDescent="0.2">
      <c r="A88" s="8"/>
      <c r="B88" s="169" t="s">
        <v>111</v>
      </c>
      <c r="C88" s="169"/>
      <c r="D88" s="169"/>
      <c r="E88" s="169"/>
      <c r="F88" s="169"/>
      <c r="G88" s="169"/>
      <c r="H88" s="169"/>
      <c r="I88" s="169"/>
      <c r="J88" s="169"/>
      <c r="K88" s="13">
        <f>ROUND(+M88/L88,3)</f>
        <v>0.77500000000000002</v>
      </c>
      <c r="L88" s="12">
        <f>SUM(L19:L87)</f>
        <v>6.2830000000000004</v>
      </c>
      <c r="M88" s="11">
        <f>SUM(M18:M87)</f>
        <v>4.867700000000001</v>
      </c>
      <c r="N88" s="9">
        <f>ROUND(SUM(N19:N87),0)</f>
        <v>100</v>
      </c>
      <c r="O88" s="171" t="s">
        <v>31</v>
      </c>
      <c r="P88" s="173"/>
    </row>
    <row r="89" spans="1:26" s="3" customFormat="1" ht="15" customHeight="1" thickBot="1" x14ac:dyDescent="0.25">
      <c r="A89" s="8"/>
      <c r="B89" s="170"/>
      <c r="C89" s="170"/>
      <c r="D89" s="170"/>
      <c r="E89" s="170"/>
      <c r="F89" s="170"/>
      <c r="G89" s="170"/>
      <c r="H89" s="170"/>
      <c r="I89" s="170"/>
      <c r="J89" s="170"/>
      <c r="K89" s="10" t="s">
        <v>32</v>
      </c>
      <c r="L89" s="10" t="s">
        <v>48</v>
      </c>
      <c r="M89" s="10" t="s">
        <v>101</v>
      </c>
      <c r="N89" s="10" t="s">
        <v>33</v>
      </c>
      <c r="O89" s="172"/>
      <c r="P89" s="174"/>
    </row>
    <row r="90" spans="1:26" ht="15" customHeight="1" thickBot="1" x14ac:dyDescent="0.3">
      <c r="A90" s="96"/>
      <c r="B90" s="175" t="s">
        <v>96</v>
      </c>
      <c r="C90" s="176"/>
      <c r="D90" s="176"/>
      <c r="E90" s="176"/>
      <c r="F90" s="177"/>
      <c r="G90" s="175" t="s">
        <v>97</v>
      </c>
      <c r="H90" s="176"/>
      <c r="I90" s="176"/>
      <c r="J90" s="176"/>
      <c r="K90" s="177"/>
      <c r="L90" s="178" t="s">
        <v>49</v>
      </c>
      <c r="M90" s="179"/>
      <c r="N90" s="179"/>
      <c r="O90" s="179"/>
      <c r="P90" s="180"/>
    </row>
    <row r="91" spans="1:26" ht="15" customHeight="1" x14ac:dyDescent="0.25">
      <c r="A91" s="96"/>
      <c r="B91" s="139"/>
      <c r="C91" s="140"/>
      <c r="D91" s="140"/>
      <c r="E91" s="140"/>
      <c r="F91" s="141"/>
      <c r="G91" s="139"/>
      <c r="H91" s="140"/>
      <c r="I91" s="140"/>
      <c r="J91" s="140"/>
      <c r="K91" s="141"/>
      <c r="L91" s="148" t="s">
        <v>98</v>
      </c>
      <c r="M91" s="149"/>
      <c r="N91" s="149"/>
      <c r="O91" s="150">
        <f>+AVERAGE(E18:E68)</f>
        <v>0.49700000000000005</v>
      </c>
      <c r="P91" s="151"/>
    </row>
    <row r="92" spans="1:26" ht="15" customHeight="1" thickBot="1" x14ac:dyDescent="0.3">
      <c r="A92" s="96"/>
      <c r="B92" s="142"/>
      <c r="C92" s="143"/>
      <c r="D92" s="143"/>
      <c r="E92" s="143"/>
      <c r="F92" s="144"/>
      <c r="G92" s="142"/>
      <c r="H92" s="143"/>
      <c r="I92" s="143"/>
      <c r="J92" s="143"/>
      <c r="K92" s="144"/>
      <c r="L92" s="152" t="s">
        <v>99</v>
      </c>
      <c r="M92" s="153"/>
      <c r="N92" s="153"/>
      <c r="O92" s="154">
        <f>MAX(E18:E68)</f>
        <v>0.9</v>
      </c>
      <c r="P92" s="155"/>
    </row>
    <row r="93" spans="1:26" ht="18.600000000000001" customHeight="1" x14ac:dyDescent="0.25">
      <c r="A93" s="97"/>
      <c r="B93" s="142"/>
      <c r="C93" s="143"/>
      <c r="D93" s="143"/>
      <c r="E93" s="143"/>
      <c r="F93" s="144"/>
      <c r="G93" s="142"/>
      <c r="H93" s="143"/>
      <c r="I93" s="143"/>
      <c r="J93" s="143"/>
      <c r="K93" s="144"/>
      <c r="L93" s="156" t="s">
        <v>117</v>
      </c>
      <c r="M93" s="157"/>
      <c r="N93" s="157"/>
      <c r="O93" s="157"/>
      <c r="P93" s="158"/>
    </row>
    <row r="94" spans="1:26" ht="42" customHeight="1" x14ac:dyDescent="0.25">
      <c r="A94" s="98"/>
      <c r="B94" s="142"/>
      <c r="C94" s="143"/>
      <c r="D94" s="143"/>
      <c r="E94" s="143"/>
      <c r="F94" s="144"/>
      <c r="G94" s="142"/>
      <c r="H94" s="143"/>
      <c r="I94" s="143"/>
      <c r="J94" s="143"/>
      <c r="K94" s="144"/>
      <c r="L94" s="159"/>
      <c r="M94" s="160"/>
      <c r="N94" s="160"/>
      <c r="O94" s="160"/>
      <c r="P94" s="161"/>
    </row>
    <row r="95" spans="1:26" ht="15" customHeight="1" thickBot="1" x14ac:dyDescent="0.3">
      <c r="A95" s="96"/>
      <c r="B95" s="142"/>
      <c r="C95" s="143"/>
      <c r="D95" s="143"/>
      <c r="E95" s="143"/>
      <c r="F95" s="144"/>
      <c r="G95" s="142"/>
      <c r="H95" s="143"/>
      <c r="I95" s="143"/>
      <c r="J95" s="143"/>
      <c r="K95" s="144"/>
      <c r="L95" s="162"/>
      <c r="M95" s="163"/>
      <c r="N95" s="163"/>
      <c r="O95" s="163"/>
      <c r="P95" s="164"/>
    </row>
    <row r="96" spans="1:26" ht="22.5" customHeight="1" thickBot="1" x14ac:dyDescent="0.3">
      <c r="A96" s="96"/>
      <c r="B96" s="142"/>
      <c r="C96" s="143"/>
      <c r="D96" s="143"/>
      <c r="E96" s="143"/>
      <c r="F96" s="144"/>
      <c r="G96" s="142"/>
      <c r="H96" s="143"/>
      <c r="I96" s="143"/>
      <c r="J96" s="143"/>
      <c r="K96" s="144"/>
      <c r="L96" s="165" t="s">
        <v>34</v>
      </c>
      <c r="M96" s="166"/>
      <c r="N96" s="166"/>
      <c r="O96" s="166"/>
      <c r="P96" s="90">
        <v>6.9</v>
      </c>
    </row>
    <row r="97" spans="1:16" ht="32.25" customHeight="1" thickBot="1" x14ac:dyDescent="0.3">
      <c r="A97" s="96"/>
      <c r="B97" s="145"/>
      <c r="C97" s="146"/>
      <c r="D97" s="146"/>
      <c r="E97" s="146"/>
      <c r="F97" s="147"/>
      <c r="G97" s="145"/>
      <c r="H97" s="146"/>
      <c r="I97" s="146"/>
      <c r="J97" s="146"/>
      <c r="K97" s="147"/>
      <c r="L97" s="167" t="s">
        <v>104</v>
      </c>
      <c r="M97" s="168"/>
      <c r="N97" s="168"/>
      <c r="O97" s="168"/>
      <c r="P97" s="90">
        <v>1.74</v>
      </c>
    </row>
    <row r="98" spans="1:16" ht="23.45" customHeight="1" thickBot="1" x14ac:dyDescent="0.3">
      <c r="A98" s="5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</row>
    <row r="99" spans="1:16" ht="15.75" thickBot="1" x14ac:dyDescent="0.3">
      <c r="A99" s="128" t="s">
        <v>35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30"/>
    </row>
    <row r="100" spans="1:16" ht="159" customHeight="1" thickBot="1" x14ac:dyDescent="0.3">
      <c r="A100" s="4"/>
      <c r="B100" s="131"/>
      <c r="C100" s="132"/>
      <c r="D100" s="132"/>
      <c r="E100" s="132"/>
      <c r="F100" s="133"/>
      <c r="G100" s="131"/>
      <c r="H100" s="132"/>
      <c r="I100" s="132"/>
      <c r="J100" s="132"/>
      <c r="K100" s="133"/>
      <c r="L100" s="131"/>
      <c r="M100" s="132"/>
      <c r="N100" s="132"/>
      <c r="O100" s="132"/>
      <c r="P100" s="134"/>
    </row>
    <row r="101" spans="1:16" ht="21.75" customHeight="1" thickBot="1" x14ac:dyDescent="0.3">
      <c r="A101" s="4"/>
      <c r="B101" s="315"/>
      <c r="C101" s="316"/>
      <c r="D101" s="316"/>
      <c r="E101" s="316"/>
      <c r="F101" s="317"/>
      <c r="G101" s="315"/>
      <c r="H101" s="316"/>
      <c r="I101" s="316"/>
      <c r="J101" s="316"/>
      <c r="K101" s="317"/>
      <c r="L101" s="315"/>
      <c r="M101" s="316"/>
      <c r="N101" s="316"/>
      <c r="O101" s="316"/>
      <c r="P101" s="318"/>
    </row>
    <row r="102" spans="1:16" s="7" customFormat="1" ht="16.899999999999999" customHeight="1" thickBot="1" x14ac:dyDescent="0.3">
      <c r="A102" s="6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3"/>
    </row>
    <row r="103" spans="1:16" s="3" customFormat="1" ht="15.75" customHeight="1" thickBot="1" x14ac:dyDescent="0.25">
      <c r="A103" s="124" t="s">
        <v>36</v>
      </c>
      <c r="B103" s="125"/>
      <c r="C103" s="125"/>
      <c r="D103" s="125"/>
      <c r="E103" s="125"/>
      <c r="F103" s="125"/>
      <c r="G103" s="125"/>
      <c r="H103" s="125"/>
      <c r="I103" s="125"/>
      <c r="J103" s="125" t="s">
        <v>37</v>
      </c>
      <c r="K103" s="125"/>
      <c r="L103" s="125"/>
      <c r="M103" s="125"/>
      <c r="N103" s="125"/>
      <c r="O103" s="125"/>
      <c r="P103" s="126"/>
    </row>
  </sheetData>
  <mergeCells count="2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K101"/>
    <mergeCell ref="L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8"/>
  <sheetViews>
    <sheetView view="pageBreakPreview" zoomScaleSheetLayoutView="100" zoomScalePageLayoutView="110" workbookViewId="0">
      <selection activeCell="D19" sqref="D19:D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51"/>
      <c r="B2" s="352"/>
      <c r="C2" s="353"/>
      <c r="D2" s="354"/>
      <c r="E2" s="355" t="s">
        <v>123</v>
      </c>
      <c r="F2" s="356"/>
      <c r="G2" s="356"/>
      <c r="H2" s="356"/>
      <c r="I2" s="356"/>
      <c r="J2" s="356"/>
      <c r="K2" s="356"/>
      <c r="L2" s="356"/>
      <c r="M2" s="356"/>
      <c r="N2" s="356"/>
      <c r="O2" s="357"/>
      <c r="P2" s="358"/>
    </row>
    <row r="3" spans="1:26" s="2" customFormat="1" ht="25.5" customHeight="1" thickBot="1" x14ac:dyDescent="0.3">
      <c r="A3" s="351"/>
      <c r="B3" s="359"/>
      <c r="C3" s="360"/>
      <c r="D3" s="361"/>
      <c r="E3" s="362"/>
      <c r="F3" s="363"/>
      <c r="G3" s="363"/>
      <c r="H3" s="363"/>
      <c r="I3" s="363"/>
      <c r="J3" s="363"/>
      <c r="K3" s="363"/>
      <c r="L3" s="363"/>
      <c r="M3" s="363"/>
      <c r="N3" s="363"/>
      <c r="O3" s="364"/>
      <c r="P3" s="365"/>
    </row>
    <row r="4" spans="1:26" s="94" customFormat="1" ht="11.25" customHeight="1" thickBot="1" x14ac:dyDescent="0.3">
      <c r="A4" s="15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10">
        <v>43162</v>
      </c>
      <c r="D5" s="311"/>
      <c r="E5" s="70" t="s">
        <v>50</v>
      </c>
      <c r="F5" s="71">
        <v>4</v>
      </c>
      <c r="G5" s="72" t="s">
        <v>1</v>
      </c>
      <c r="H5" s="312" t="s">
        <v>124</v>
      </c>
      <c r="I5" s="313"/>
      <c r="J5" s="313"/>
      <c r="K5" s="313"/>
      <c r="L5" s="313"/>
      <c r="M5" s="313"/>
      <c r="N5" s="313"/>
      <c r="O5" s="313"/>
      <c r="P5" s="31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93" t="s">
        <v>2</v>
      </c>
      <c r="C6" s="294"/>
      <c r="D6" s="295" t="s">
        <v>118</v>
      </c>
      <c r="E6" s="296"/>
      <c r="F6" s="296"/>
      <c r="G6" s="296"/>
      <c r="H6" s="296"/>
      <c r="I6" s="297"/>
      <c r="J6" s="74" t="s">
        <v>3</v>
      </c>
      <c r="K6" s="298" t="s">
        <v>109</v>
      </c>
      <c r="L6" s="297"/>
      <c r="M6" s="298" t="s">
        <v>110</v>
      </c>
      <c r="N6" s="299"/>
      <c r="O6" s="75" t="s">
        <v>51</v>
      </c>
      <c r="P6" s="76">
        <v>1833</v>
      </c>
    </row>
    <row r="7" spans="1:26" s="18" customFormat="1" ht="21.75" customHeight="1" x14ac:dyDescent="0.25">
      <c r="B7" s="300" t="s">
        <v>52</v>
      </c>
      <c r="C7" s="301" t="s">
        <v>53</v>
      </c>
      <c r="D7" s="271"/>
      <c r="E7" s="78"/>
      <c r="F7" s="302" t="s">
        <v>54</v>
      </c>
      <c r="G7" s="303"/>
      <c r="H7" s="303"/>
      <c r="I7" s="303"/>
      <c r="J7" s="304" t="s">
        <v>55</v>
      </c>
      <c r="K7" s="305"/>
      <c r="L7" s="305"/>
      <c r="M7" s="306"/>
      <c r="N7" s="307" t="s">
        <v>102</v>
      </c>
      <c r="O7" s="308"/>
      <c r="P7" s="79" t="s">
        <v>56</v>
      </c>
    </row>
    <row r="8" spans="1:26" s="18" customFormat="1" ht="21.75" customHeight="1" thickBot="1" x14ac:dyDescent="0.3">
      <c r="B8" s="245"/>
      <c r="C8" s="262" t="s">
        <v>57</v>
      </c>
      <c r="D8" s="261"/>
      <c r="E8" s="80" t="s">
        <v>4</v>
      </c>
      <c r="F8" s="272" t="s">
        <v>5</v>
      </c>
      <c r="G8" s="273"/>
      <c r="H8" s="273"/>
      <c r="I8" s="273"/>
      <c r="J8" s="274"/>
      <c r="K8" s="275"/>
      <c r="L8" s="275"/>
      <c r="M8" s="276"/>
      <c r="N8" s="277"/>
      <c r="O8" s="278"/>
      <c r="P8" s="81"/>
    </row>
    <row r="9" spans="1:26" s="18" customFormat="1" ht="21.75" customHeight="1" x14ac:dyDescent="0.25">
      <c r="B9" s="279" t="s">
        <v>6</v>
      </c>
      <c r="C9" s="282" t="s">
        <v>58</v>
      </c>
      <c r="D9" s="283" t="s">
        <v>59</v>
      </c>
      <c r="E9" s="268"/>
      <c r="F9" s="82"/>
      <c r="G9" s="284" t="s">
        <v>7</v>
      </c>
      <c r="H9" s="285" t="s">
        <v>8</v>
      </c>
      <c r="I9" s="271"/>
      <c r="J9" s="83"/>
      <c r="K9" s="282" t="s">
        <v>60</v>
      </c>
      <c r="L9" s="286" t="s">
        <v>119</v>
      </c>
      <c r="M9" s="287"/>
      <c r="N9" s="288"/>
      <c r="O9" s="288"/>
      <c r="P9" s="289"/>
    </row>
    <row r="10" spans="1:26" s="18" customFormat="1" ht="21.75" customHeight="1" thickBot="1" x14ac:dyDescent="0.3">
      <c r="B10" s="280"/>
      <c r="C10" s="225"/>
      <c r="D10" s="266" t="s">
        <v>61</v>
      </c>
      <c r="E10" s="261"/>
      <c r="F10" s="84" t="s">
        <v>4</v>
      </c>
      <c r="G10" s="225"/>
      <c r="H10" s="266" t="s">
        <v>9</v>
      </c>
      <c r="I10" s="261"/>
      <c r="J10" s="85" t="s">
        <v>4</v>
      </c>
      <c r="K10" s="225"/>
      <c r="L10" s="290"/>
      <c r="M10" s="291"/>
      <c r="N10" s="291"/>
      <c r="O10" s="291"/>
      <c r="P10" s="292"/>
    </row>
    <row r="11" spans="1:26" s="18" customFormat="1" ht="21.75" customHeight="1" x14ac:dyDescent="0.25">
      <c r="A11" s="16"/>
      <c r="B11" s="280"/>
      <c r="C11" s="267" t="s">
        <v>10</v>
      </c>
      <c r="D11" s="268"/>
      <c r="E11" s="86">
        <v>0.47916666666666669</v>
      </c>
      <c r="F11" s="269" t="s">
        <v>11</v>
      </c>
      <c r="G11" s="268"/>
      <c r="H11" s="87">
        <v>1.27</v>
      </c>
      <c r="I11" s="270" t="s">
        <v>12</v>
      </c>
      <c r="J11" s="271"/>
      <c r="K11" s="87">
        <v>17</v>
      </c>
      <c r="L11" s="267" t="s">
        <v>13</v>
      </c>
      <c r="M11" s="268"/>
      <c r="N11" s="88">
        <v>9.6</v>
      </c>
      <c r="O11" s="258" t="s">
        <v>62</v>
      </c>
      <c r="P11" s="259"/>
    </row>
    <row r="12" spans="1:26" s="18" customFormat="1" ht="21.75" customHeight="1" thickBot="1" x14ac:dyDescent="0.3">
      <c r="A12" s="16"/>
      <c r="B12" s="281"/>
      <c r="C12" s="260" t="s">
        <v>14</v>
      </c>
      <c r="D12" s="261"/>
      <c r="E12" s="86">
        <v>0.53472222222222221</v>
      </c>
      <c r="F12" s="262" t="s">
        <v>15</v>
      </c>
      <c r="G12" s="261"/>
      <c r="H12" s="87">
        <v>1.27</v>
      </c>
      <c r="I12" s="263" t="s">
        <v>16</v>
      </c>
      <c r="J12" s="261"/>
      <c r="K12" s="86">
        <v>0.45833333333333331</v>
      </c>
      <c r="L12" s="260" t="s">
        <v>17</v>
      </c>
      <c r="M12" s="261"/>
      <c r="N12" s="89">
        <v>0.5</v>
      </c>
      <c r="O12" s="264">
        <v>3.8</v>
      </c>
      <c r="P12" s="265"/>
    </row>
    <row r="13" spans="1:26" s="18" customFormat="1" ht="21.75" customHeight="1" x14ac:dyDescent="0.25">
      <c r="A13" s="16"/>
      <c r="B13" s="243" t="s">
        <v>18</v>
      </c>
      <c r="C13" s="246" t="s">
        <v>63</v>
      </c>
      <c r="D13" s="247"/>
      <c r="E13" s="247"/>
      <c r="F13" s="248" t="s">
        <v>64</v>
      </c>
      <c r="G13" s="247"/>
      <c r="H13" s="247"/>
      <c r="I13" s="247"/>
      <c r="J13" s="248" t="s">
        <v>65</v>
      </c>
      <c r="K13" s="247"/>
      <c r="L13" s="247"/>
      <c r="M13" s="247"/>
      <c r="N13" s="249" t="s">
        <v>66</v>
      </c>
      <c r="O13" s="247"/>
      <c r="P13" s="250"/>
      <c r="Q13" s="95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44"/>
      <c r="C14" s="251" t="s">
        <v>67</v>
      </c>
      <c r="D14" s="252"/>
      <c r="E14" s="252"/>
      <c r="F14" s="253" t="s">
        <v>68</v>
      </c>
      <c r="G14" s="252"/>
      <c r="H14" s="252"/>
      <c r="I14" s="252"/>
      <c r="J14" s="254" t="s">
        <v>69</v>
      </c>
      <c r="K14" s="252"/>
      <c r="L14" s="252"/>
      <c r="M14" s="252"/>
      <c r="N14" s="255"/>
      <c r="O14" s="240"/>
      <c r="P14" s="25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5"/>
      <c r="C15" s="257" t="s">
        <v>70</v>
      </c>
      <c r="D15" s="227"/>
      <c r="E15" s="227"/>
      <c r="F15" s="227" t="s">
        <v>71</v>
      </c>
      <c r="G15" s="228"/>
      <c r="H15" s="228"/>
      <c r="I15" s="228"/>
      <c r="J15" s="227" t="s">
        <v>72</v>
      </c>
      <c r="K15" s="228"/>
      <c r="L15" s="228"/>
      <c r="M15" s="228"/>
      <c r="N15" s="229"/>
      <c r="O15" s="230"/>
      <c r="P15" s="23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32" t="s">
        <v>19</v>
      </c>
      <c r="C16" s="234" t="s">
        <v>20</v>
      </c>
      <c r="D16" s="234" t="s">
        <v>40</v>
      </c>
      <c r="E16" s="236" t="s">
        <v>21</v>
      </c>
      <c r="F16" s="237" t="s">
        <v>41</v>
      </c>
      <c r="G16" s="238"/>
      <c r="H16" s="234" t="s">
        <v>73</v>
      </c>
      <c r="I16" s="24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33"/>
      <c r="C17" s="235"/>
      <c r="D17" s="235"/>
      <c r="E17" s="235"/>
      <c r="F17" s="239"/>
      <c r="G17" s="240"/>
      <c r="H17" s="235"/>
      <c r="I17" s="24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3.8</v>
      </c>
      <c r="D18" s="29">
        <v>0.33</v>
      </c>
      <c r="E18" s="30"/>
      <c r="F18" s="31"/>
      <c r="G18" s="92"/>
      <c r="H18" s="32"/>
      <c r="I18" s="33"/>
      <c r="J18" s="91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 t="s">
        <v>107</v>
      </c>
      <c r="B19" s="223">
        <v>1</v>
      </c>
      <c r="C19" s="226">
        <f>+C18+$N$12</f>
        <v>4.3</v>
      </c>
      <c r="D19" s="203">
        <v>0.16500000000000001</v>
      </c>
      <c r="E19" s="203">
        <v>0.13800000000000001</v>
      </c>
      <c r="F19" s="36" t="s">
        <v>75</v>
      </c>
      <c r="G19" s="37">
        <v>0</v>
      </c>
      <c r="H19" s="38"/>
      <c r="I19" s="39"/>
      <c r="J19" s="40">
        <v>2.8000000000000001E-2</v>
      </c>
      <c r="K19" s="203">
        <f t="shared" ref="K19" si="0">+IF(E19&lt;=0.12,(J21),(IF(E19&lt;0.16,((J20+2*J21+J22)/4),IF(E19&gt;=0.16,((J19+3*J20+2*J21+3*J22+J23)/10)))))</f>
        <v>9.375E-2</v>
      </c>
      <c r="L19" s="203">
        <f>ROUND(+(D18+D19)/2*(C19-C18),3)</f>
        <v>0.124</v>
      </c>
      <c r="M19" s="203">
        <f t="shared" ref="M19" si="1">ROUND(+K19*L19,4)</f>
        <v>1.1599999999999999E-2</v>
      </c>
      <c r="N19" s="206">
        <f t="shared" ref="N19" si="2">ROUND(+M19/$M$133*100,2)</f>
        <v>0.31</v>
      </c>
      <c r="O19" s="207"/>
      <c r="P19" s="20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24"/>
      <c r="C20" s="204"/>
      <c r="D20" s="204"/>
      <c r="E20" s="204"/>
      <c r="F20" s="41" t="s">
        <v>76</v>
      </c>
      <c r="G20" s="42">
        <f t="shared" ref="G20" si="3">IF(E19&lt;0.125,"NA",IF(0.125&lt;=E19,(0.2*E19)))</f>
        <v>2.7600000000000003E-2</v>
      </c>
      <c r="H20" s="43"/>
      <c r="I20" s="44"/>
      <c r="J20" s="45">
        <v>5.0999999999999997E-2</v>
      </c>
      <c r="K20" s="204"/>
      <c r="L20" s="204"/>
      <c r="M20" s="204"/>
      <c r="N20" s="204"/>
      <c r="O20" s="204"/>
      <c r="P20" s="20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24"/>
      <c r="C21" s="204"/>
      <c r="D21" s="204"/>
      <c r="E21" s="204"/>
      <c r="F21" s="41" t="s">
        <v>77</v>
      </c>
      <c r="G21" s="42">
        <f t="shared" ref="G21" si="4">+E19*0.4</f>
        <v>5.5200000000000006E-2</v>
      </c>
      <c r="H21" s="43"/>
      <c r="I21" s="44"/>
      <c r="J21" s="45">
        <v>9.6000000000000002E-2</v>
      </c>
      <c r="K21" s="204"/>
      <c r="L21" s="204"/>
      <c r="M21" s="204"/>
      <c r="N21" s="204"/>
      <c r="O21" s="204"/>
      <c r="P21" s="20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24"/>
      <c r="C22" s="204"/>
      <c r="D22" s="204"/>
      <c r="E22" s="204"/>
      <c r="F22" s="41" t="s">
        <v>78</v>
      </c>
      <c r="G22" s="42">
        <f t="shared" ref="G22" si="5">IF(E19&lt;0.125,"NA",IF(0.125&lt;=E19,(0.8*E19)))</f>
        <v>0.11040000000000001</v>
      </c>
      <c r="H22" s="43"/>
      <c r="I22" s="44"/>
      <c r="J22" s="45">
        <v>0.13200000000000001</v>
      </c>
      <c r="K22" s="204"/>
      <c r="L22" s="204"/>
      <c r="M22" s="204"/>
      <c r="N22" s="204"/>
      <c r="O22" s="204"/>
      <c r="P22" s="20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5"/>
      <c r="C23" s="205"/>
      <c r="D23" s="205"/>
      <c r="E23" s="205"/>
      <c r="F23" s="46" t="s">
        <v>79</v>
      </c>
      <c r="G23" s="47">
        <f t="shared" ref="G23" si="6">+E19</f>
        <v>0.13800000000000001</v>
      </c>
      <c r="H23" s="48"/>
      <c r="I23" s="49"/>
      <c r="J23" s="50">
        <v>0.129</v>
      </c>
      <c r="K23" s="205"/>
      <c r="L23" s="205"/>
      <c r="M23" s="205"/>
      <c r="N23" s="205"/>
      <c r="O23" s="205"/>
      <c r="P23" s="21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23">
        <f>+B19+1</f>
        <v>2</v>
      </c>
      <c r="C24" s="226">
        <f t="shared" ref="C24" si="7">+C19+$N$12</f>
        <v>4.8</v>
      </c>
      <c r="D24" s="203">
        <v>0.254</v>
      </c>
      <c r="E24" s="203">
        <v>0.23300000000000001</v>
      </c>
      <c r="F24" s="36" t="s">
        <v>75</v>
      </c>
      <c r="G24" s="37">
        <v>0</v>
      </c>
      <c r="H24" s="38"/>
      <c r="I24" s="39"/>
      <c r="J24" s="40">
        <v>0.08</v>
      </c>
      <c r="K24" s="203">
        <f t="shared" ref="K24" si="8">+IF(E24&lt;=0.12,(J26),(IF(E24&lt;0.16,((J25+2*J26+J27)/4),IF(E24&gt;=0.16,((J24+3*J25+2*J26+3*J27+J28)/10)))))</f>
        <v>0.14530000000000004</v>
      </c>
      <c r="L24" s="203">
        <f t="shared" ref="L24" si="9">ROUND(+(D19+D24)/2*(C24-C19),3)</f>
        <v>0.105</v>
      </c>
      <c r="M24" s="203">
        <f t="shared" ref="M24" si="10">ROUND(+K24*L24,4)</f>
        <v>1.5299999999999999E-2</v>
      </c>
      <c r="N24" s="206">
        <f t="shared" ref="N24" si="11">ROUND(+M24/$M$133*100,2)</f>
        <v>0.41</v>
      </c>
      <c r="O24" s="207"/>
      <c r="P24" s="20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24"/>
      <c r="C25" s="204"/>
      <c r="D25" s="204"/>
      <c r="E25" s="204"/>
      <c r="F25" s="41" t="s">
        <v>76</v>
      </c>
      <c r="G25" s="42">
        <f t="shared" ref="G25" si="12">IF(E24&lt;0.125,"NA",IF(0.125&lt;=E24,(0.2*E24)))</f>
        <v>4.6600000000000003E-2</v>
      </c>
      <c r="H25" s="43"/>
      <c r="I25" s="44"/>
      <c r="J25" s="45">
        <v>0.10100000000000001</v>
      </c>
      <c r="K25" s="204"/>
      <c r="L25" s="204"/>
      <c r="M25" s="204"/>
      <c r="N25" s="204"/>
      <c r="O25" s="204"/>
      <c r="P25" s="20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24"/>
      <c r="C26" s="204"/>
      <c r="D26" s="204"/>
      <c r="E26" s="204"/>
      <c r="F26" s="41" t="s">
        <v>77</v>
      </c>
      <c r="G26" s="42">
        <f t="shared" ref="G26" si="13">+E24*0.4</f>
        <v>9.3200000000000005E-2</v>
      </c>
      <c r="H26" s="43"/>
      <c r="I26" s="44"/>
      <c r="J26" s="45">
        <v>0.192</v>
      </c>
      <c r="K26" s="204"/>
      <c r="L26" s="204"/>
      <c r="M26" s="204"/>
      <c r="N26" s="204"/>
      <c r="O26" s="204"/>
      <c r="P26" s="20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24"/>
      <c r="C27" s="204"/>
      <c r="D27" s="204"/>
      <c r="E27" s="204"/>
      <c r="F27" s="41" t="s">
        <v>78</v>
      </c>
      <c r="G27" s="42">
        <f t="shared" ref="G27" si="14">IF(E24&lt;0.125,"NA",IF(0.125&lt;=E24,(0.8*E24)))</f>
        <v>0.18640000000000001</v>
      </c>
      <c r="H27" s="43"/>
      <c r="I27" s="44"/>
      <c r="J27" s="45">
        <v>0.17100000000000001</v>
      </c>
      <c r="K27" s="204"/>
      <c r="L27" s="204"/>
      <c r="M27" s="204"/>
      <c r="N27" s="204"/>
      <c r="O27" s="204"/>
      <c r="P27" s="20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5"/>
      <c r="C28" s="205"/>
      <c r="D28" s="205"/>
      <c r="E28" s="205"/>
      <c r="F28" s="46" t="s">
        <v>79</v>
      </c>
      <c r="G28" s="47">
        <f t="shared" ref="G28" si="15">+E24</f>
        <v>0.23300000000000001</v>
      </c>
      <c r="H28" s="48"/>
      <c r="I28" s="49"/>
      <c r="J28" s="50">
        <v>0.17299999999999999</v>
      </c>
      <c r="K28" s="205"/>
      <c r="L28" s="205"/>
      <c r="M28" s="205"/>
      <c r="N28" s="205"/>
      <c r="O28" s="205"/>
      <c r="P28" s="21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23">
        <f t="shared" ref="B29" si="16">+B24+1</f>
        <v>3</v>
      </c>
      <c r="C29" s="226">
        <f t="shared" ref="C29" si="17">+C24+$N$12</f>
        <v>5.3</v>
      </c>
      <c r="D29" s="203">
        <v>0.40100000000000002</v>
      </c>
      <c r="E29" s="203">
        <v>0.39</v>
      </c>
      <c r="F29" s="36" t="s">
        <v>75</v>
      </c>
      <c r="G29" s="37">
        <v>0</v>
      </c>
      <c r="H29" s="38"/>
      <c r="I29" s="39"/>
      <c r="J29" s="40">
        <v>0.48899999999999999</v>
      </c>
      <c r="K29" s="203">
        <f t="shared" ref="K29" si="18">+IF(E29&lt;=0.12,(J31),(IF(E29&lt;0.16,((J30+2*J31+J32)/4),IF(E29&gt;=0.16,((J29+3*J30+2*J31+3*J32+J33)/10)))))</f>
        <v>0.66220000000000001</v>
      </c>
      <c r="L29" s="203">
        <f t="shared" ref="L29" si="19">ROUND(+(D24+D29)/2*(C29-C24),3)</f>
        <v>0.16400000000000001</v>
      </c>
      <c r="M29" s="203">
        <f t="shared" ref="M29" si="20">ROUND(+K29*L29,4)</f>
        <v>0.1086</v>
      </c>
      <c r="N29" s="206">
        <f t="shared" ref="N29" si="21">ROUND(+M29/$M$133*100,2)</f>
        <v>2.89</v>
      </c>
      <c r="O29" s="207"/>
      <c r="P29" s="20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24"/>
      <c r="C30" s="204"/>
      <c r="D30" s="204"/>
      <c r="E30" s="204"/>
      <c r="F30" s="41" t="s">
        <v>76</v>
      </c>
      <c r="G30" s="42">
        <f t="shared" ref="G30" si="22">IF(E29&lt;0.125,"NA",IF(0.125&lt;=E29,(0.2*E29)))</f>
        <v>7.8000000000000014E-2</v>
      </c>
      <c r="H30" s="43"/>
      <c r="I30" s="44"/>
      <c r="J30" s="45">
        <v>0.52900000000000003</v>
      </c>
      <c r="K30" s="204"/>
      <c r="L30" s="204"/>
      <c r="M30" s="204"/>
      <c r="N30" s="204"/>
      <c r="O30" s="204"/>
      <c r="P30" s="209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24"/>
      <c r="C31" s="204"/>
      <c r="D31" s="204"/>
      <c r="E31" s="204"/>
      <c r="F31" s="41" t="s">
        <v>77</v>
      </c>
      <c r="G31" s="42">
        <f t="shared" ref="G31" si="23">+E29*0.4</f>
        <v>0.15600000000000003</v>
      </c>
      <c r="H31" s="43"/>
      <c r="I31" s="44"/>
      <c r="J31" s="45">
        <v>0.60099999999999998</v>
      </c>
      <c r="K31" s="204"/>
      <c r="L31" s="204"/>
      <c r="M31" s="204"/>
      <c r="N31" s="204"/>
      <c r="O31" s="204"/>
      <c r="P31" s="209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24"/>
      <c r="C32" s="204"/>
      <c r="D32" s="204"/>
      <c r="E32" s="204"/>
      <c r="F32" s="41" t="s">
        <v>78</v>
      </c>
      <c r="G32" s="42">
        <f t="shared" ref="G32" si="24">IF(E29&lt;0.125,"NA",IF(0.125&lt;=E29,(0.8*E29)))</f>
        <v>0.31200000000000006</v>
      </c>
      <c r="H32" s="43"/>
      <c r="I32" s="44"/>
      <c r="J32" s="45">
        <v>0.84</v>
      </c>
      <c r="K32" s="204"/>
      <c r="L32" s="204"/>
      <c r="M32" s="204"/>
      <c r="N32" s="204"/>
      <c r="O32" s="204"/>
      <c r="P32" s="209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5"/>
      <c r="C33" s="205"/>
      <c r="D33" s="205"/>
      <c r="E33" s="205"/>
      <c r="F33" s="46" t="s">
        <v>79</v>
      </c>
      <c r="G33" s="47">
        <f t="shared" ref="G33" si="25">+E29</f>
        <v>0.39</v>
      </c>
      <c r="H33" s="48"/>
      <c r="I33" s="49"/>
      <c r="J33" s="50">
        <v>0.82399999999999995</v>
      </c>
      <c r="K33" s="205"/>
      <c r="L33" s="205"/>
      <c r="M33" s="205"/>
      <c r="N33" s="205"/>
      <c r="O33" s="205"/>
      <c r="P33" s="210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23">
        <f t="shared" ref="B34" si="26">+B29+1</f>
        <v>4</v>
      </c>
      <c r="C34" s="226">
        <f t="shared" ref="C34" si="27">+C29+$N$12</f>
        <v>5.8</v>
      </c>
      <c r="D34" s="203">
        <v>0.57999999999999996</v>
      </c>
      <c r="E34" s="203">
        <v>0.56299999999999994</v>
      </c>
      <c r="F34" s="36" t="s">
        <v>75</v>
      </c>
      <c r="G34" s="37">
        <v>0</v>
      </c>
      <c r="H34" s="38"/>
      <c r="I34" s="39"/>
      <c r="J34" s="40">
        <v>0.42</v>
      </c>
      <c r="K34" s="203">
        <f t="shared" ref="K34" si="28">+IF(E34&lt;=0.12,(J36),(IF(E34&lt;0.16,((J35+2*J36+J37)/4),IF(E34&gt;=0.16,((J34+3*J35+2*J36+3*J37+J38)/10)))))</f>
        <v>0.84109999999999996</v>
      </c>
      <c r="L34" s="203">
        <f t="shared" ref="L34" si="29">ROUND(+(D29+D34)/2*(C34-C29),3)</f>
        <v>0.245</v>
      </c>
      <c r="M34" s="203">
        <f t="shared" ref="M34" si="30">ROUND(+K34*L34,4)</f>
        <v>0.20610000000000001</v>
      </c>
      <c r="N34" s="206">
        <f t="shared" ref="N34" si="31">ROUND(+M34/$M$133*100,2)</f>
        <v>5.48</v>
      </c>
      <c r="O34" s="207"/>
      <c r="P34" s="20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24"/>
      <c r="C35" s="204"/>
      <c r="D35" s="204"/>
      <c r="E35" s="204"/>
      <c r="F35" s="41" t="s">
        <v>76</v>
      </c>
      <c r="G35" s="42">
        <f t="shared" ref="G35" si="32">IF(E34&lt;0.125,"NA",IF(0.125&lt;=E34,(0.2*E34)))</f>
        <v>0.11259999999999999</v>
      </c>
      <c r="H35" s="43"/>
      <c r="I35" s="44"/>
      <c r="J35" s="45">
        <v>0.85799999999999998</v>
      </c>
      <c r="K35" s="204"/>
      <c r="L35" s="204"/>
      <c r="M35" s="204"/>
      <c r="N35" s="204"/>
      <c r="O35" s="204"/>
      <c r="P35" s="20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24"/>
      <c r="C36" s="204"/>
      <c r="D36" s="204"/>
      <c r="E36" s="204"/>
      <c r="F36" s="41" t="s">
        <v>77</v>
      </c>
      <c r="G36" s="42">
        <f t="shared" ref="G36" si="33">+E34*0.4</f>
        <v>0.22519999999999998</v>
      </c>
      <c r="H36" s="43"/>
      <c r="I36" s="44"/>
      <c r="J36" s="45">
        <v>0.87</v>
      </c>
      <c r="K36" s="204"/>
      <c r="L36" s="204"/>
      <c r="M36" s="204"/>
      <c r="N36" s="204"/>
      <c r="O36" s="204"/>
      <c r="P36" s="209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24"/>
      <c r="C37" s="204"/>
      <c r="D37" s="204"/>
      <c r="E37" s="204"/>
      <c r="F37" s="41" t="s">
        <v>78</v>
      </c>
      <c r="G37" s="42">
        <f t="shared" ref="G37" si="34">IF(E34&lt;0.125,"NA",IF(0.125&lt;=E34,(0.8*E34)))</f>
        <v>0.45039999999999997</v>
      </c>
      <c r="H37" s="43"/>
      <c r="I37" s="44"/>
      <c r="J37" s="45">
        <v>0.91300000000000003</v>
      </c>
      <c r="K37" s="204"/>
      <c r="L37" s="204"/>
      <c r="M37" s="204"/>
      <c r="N37" s="204"/>
      <c r="O37" s="204"/>
      <c r="P37" s="20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5"/>
      <c r="C38" s="205"/>
      <c r="D38" s="205"/>
      <c r="E38" s="205"/>
      <c r="F38" s="46" t="s">
        <v>79</v>
      </c>
      <c r="G38" s="47">
        <f t="shared" ref="G38" si="35">+E34</f>
        <v>0.56299999999999994</v>
      </c>
      <c r="H38" s="48"/>
      <c r="I38" s="49"/>
      <c r="J38" s="50">
        <v>0.93799999999999994</v>
      </c>
      <c r="K38" s="205"/>
      <c r="L38" s="205"/>
      <c r="M38" s="205"/>
      <c r="N38" s="205"/>
      <c r="O38" s="205"/>
      <c r="P38" s="210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23">
        <f t="shared" ref="B39" si="36">+B34+1</f>
        <v>5</v>
      </c>
      <c r="C39" s="226">
        <f t="shared" ref="C39" si="37">+C34+$N$12</f>
        <v>6.3</v>
      </c>
      <c r="D39" s="203">
        <v>0.80100000000000005</v>
      </c>
      <c r="E39" s="203">
        <v>0.97299999999999998</v>
      </c>
      <c r="F39" s="36" t="s">
        <v>75</v>
      </c>
      <c r="G39" s="37">
        <v>0</v>
      </c>
      <c r="H39" s="38"/>
      <c r="I39" s="39"/>
      <c r="J39" s="40"/>
      <c r="K39" s="203"/>
      <c r="L39" s="203"/>
      <c r="M39" s="203"/>
      <c r="N39" s="206"/>
      <c r="O39" s="207"/>
      <c r="P39" s="20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24"/>
      <c r="C40" s="204"/>
      <c r="D40" s="204"/>
      <c r="E40" s="204"/>
      <c r="F40" s="41" t="s">
        <v>76</v>
      </c>
      <c r="G40" s="42">
        <f t="shared" ref="G40" si="38">IF(E39&lt;0.125,"NA",IF(0.125&lt;=E39,(0.2*E39)))</f>
        <v>0.1946</v>
      </c>
      <c r="H40" s="43"/>
      <c r="I40" s="44"/>
      <c r="J40" s="45"/>
      <c r="K40" s="204"/>
      <c r="L40" s="204"/>
      <c r="M40" s="204"/>
      <c r="N40" s="204"/>
      <c r="O40" s="204"/>
      <c r="P40" s="209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24"/>
      <c r="C41" s="204"/>
      <c r="D41" s="204"/>
      <c r="E41" s="204"/>
      <c r="F41" s="41" t="s">
        <v>77</v>
      </c>
      <c r="G41" s="42">
        <f t="shared" ref="G41" si="39">+E39*0.4</f>
        <v>0.38919999999999999</v>
      </c>
      <c r="H41" s="43"/>
      <c r="I41" s="44"/>
      <c r="J41" s="45"/>
      <c r="K41" s="204"/>
      <c r="L41" s="204"/>
      <c r="M41" s="204"/>
      <c r="N41" s="204"/>
      <c r="O41" s="204"/>
      <c r="P41" s="209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24"/>
      <c r="C42" s="204"/>
      <c r="D42" s="204"/>
      <c r="E42" s="204"/>
      <c r="F42" s="41" t="s">
        <v>78</v>
      </c>
      <c r="G42" s="42">
        <f t="shared" ref="G42" si="40">IF(E39&lt;0.125,"NA",IF(0.125&lt;=E39,(0.8*E39)))</f>
        <v>0.77839999999999998</v>
      </c>
      <c r="H42" s="43"/>
      <c r="I42" s="44"/>
      <c r="J42" s="45"/>
      <c r="K42" s="204"/>
      <c r="L42" s="204"/>
      <c r="M42" s="204"/>
      <c r="N42" s="204"/>
      <c r="O42" s="204"/>
      <c r="P42" s="209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5"/>
      <c r="C43" s="205"/>
      <c r="D43" s="205"/>
      <c r="E43" s="205"/>
      <c r="F43" s="46" t="s">
        <v>79</v>
      </c>
      <c r="G43" s="47">
        <f t="shared" ref="G43" si="41">+E39</f>
        <v>0.97299999999999998</v>
      </c>
      <c r="H43" s="48"/>
      <c r="I43" s="49"/>
      <c r="J43" s="50"/>
      <c r="K43" s="205"/>
      <c r="L43" s="205"/>
      <c r="M43" s="205"/>
      <c r="N43" s="205"/>
      <c r="O43" s="205"/>
      <c r="P43" s="210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23">
        <f t="shared" ref="B44" si="42">+B39+1</f>
        <v>6</v>
      </c>
      <c r="C44" s="226">
        <f t="shared" ref="C44" si="43">+C39+$N$12</f>
        <v>6.8</v>
      </c>
      <c r="D44" s="203">
        <v>0.34499999999999997</v>
      </c>
      <c r="E44" s="203">
        <v>0.65400000000000003</v>
      </c>
      <c r="F44" s="36" t="s">
        <v>75</v>
      </c>
      <c r="G44" s="37">
        <v>0</v>
      </c>
      <c r="H44" s="38"/>
      <c r="I44" s="39"/>
      <c r="J44" s="40">
        <v>0.502</v>
      </c>
      <c r="K44" s="203">
        <f t="shared" ref="K44" si="44">+IF(E44&lt;=0.12,(J46),(IF(E44&lt;0.16,((J45+2*J46+J47)/4),IF(E44&gt;=0.16,((J44+3*J45+2*J46+3*J47+J48)/10)))))</f>
        <v>0.9496</v>
      </c>
      <c r="L44" s="203">
        <f t="shared" ref="L44" si="45">ROUND(+(D39+D44)/2*(C44-C39),3)</f>
        <v>0.28699999999999998</v>
      </c>
      <c r="M44" s="203">
        <f t="shared" ref="M44" si="46">ROUND(+K44*L44,4)</f>
        <v>0.27250000000000002</v>
      </c>
      <c r="N44" s="206">
        <f t="shared" ref="N44" si="47">ROUND(+M44/$M$133*100,2)</f>
        <v>7.24</v>
      </c>
      <c r="O44" s="207"/>
      <c r="P44" s="20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24"/>
      <c r="C45" s="204"/>
      <c r="D45" s="204"/>
      <c r="E45" s="204"/>
      <c r="F45" s="41" t="s">
        <v>76</v>
      </c>
      <c r="G45" s="42">
        <f t="shared" ref="G45" si="48">IF(E44&lt;0.125,"NA",IF(0.125&lt;=E44,(0.2*E44)))</f>
        <v>0.1308</v>
      </c>
      <c r="H45" s="43"/>
      <c r="I45" s="44"/>
      <c r="J45" s="45">
        <v>0.625</v>
      </c>
      <c r="K45" s="204"/>
      <c r="L45" s="204"/>
      <c r="M45" s="204"/>
      <c r="N45" s="204"/>
      <c r="O45" s="204"/>
      <c r="P45" s="20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24"/>
      <c r="C46" s="204"/>
      <c r="D46" s="204"/>
      <c r="E46" s="204"/>
      <c r="F46" s="41" t="s">
        <v>77</v>
      </c>
      <c r="G46" s="42">
        <f t="shared" ref="G46" si="49">+E44*0.4</f>
        <v>0.2616</v>
      </c>
      <c r="H46" s="43"/>
      <c r="I46" s="44"/>
      <c r="J46" s="45">
        <v>0.73199999999999998</v>
      </c>
      <c r="K46" s="204"/>
      <c r="L46" s="204"/>
      <c r="M46" s="204"/>
      <c r="N46" s="204"/>
      <c r="O46" s="204"/>
      <c r="P46" s="20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24"/>
      <c r="C47" s="204"/>
      <c r="D47" s="204"/>
      <c r="E47" s="204"/>
      <c r="F47" s="41" t="s">
        <v>78</v>
      </c>
      <c r="G47" s="42">
        <f t="shared" ref="G47" si="50">IF(E44&lt;0.125,"NA",IF(0.125&lt;=E44,(0.8*E44)))</f>
        <v>0.5232</v>
      </c>
      <c r="H47" s="43"/>
      <c r="I47" s="44"/>
      <c r="J47" s="45">
        <v>1.401</v>
      </c>
      <c r="K47" s="204"/>
      <c r="L47" s="204"/>
      <c r="M47" s="204"/>
      <c r="N47" s="204"/>
      <c r="O47" s="204"/>
      <c r="P47" s="20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5"/>
      <c r="C48" s="205"/>
      <c r="D48" s="205"/>
      <c r="E48" s="205"/>
      <c r="F48" s="46" t="s">
        <v>79</v>
      </c>
      <c r="G48" s="47">
        <f t="shared" ref="G48" si="51">+E44</f>
        <v>0.65400000000000003</v>
      </c>
      <c r="H48" s="48"/>
      <c r="I48" s="49"/>
      <c r="J48" s="50">
        <v>1.452</v>
      </c>
      <c r="K48" s="205"/>
      <c r="L48" s="205"/>
      <c r="M48" s="205"/>
      <c r="N48" s="205"/>
      <c r="O48" s="205"/>
      <c r="P48" s="21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23">
        <f t="shared" ref="B49" si="52">+B44+1</f>
        <v>7</v>
      </c>
      <c r="C49" s="226">
        <f t="shared" ref="C49" si="53">+C44+$N$12</f>
        <v>7.3</v>
      </c>
      <c r="D49" s="203">
        <v>0.314</v>
      </c>
      <c r="E49" s="203">
        <v>0.31900000000000001</v>
      </c>
      <c r="F49" s="36" t="s">
        <v>75</v>
      </c>
      <c r="G49" s="37">
        <v>0</v>
      </c>
      <c r="H49" s="38"/>
      <c r="I49" s="39"/>
      <c r="J49" s="40">
        <v>0.77300000000000002</v>
      </c>
      <c r="K49" s="203">
        <f t="shared" ref="K49" si="54">+IF(E49&lt;=0.12,(J51),(IF(E49&lt;0.16,((J50+2*J51+J52)/4),IF(E49&gt;=0.16,((J49+3*J50+2*J51+3*J52+J53)/10)))))</f>
        <v>1.0055999999999998</v>
      </c>
      <c r="L49" s="203">
        <f t="shared" ref="L49" si="55">ROUND(+(D44+D49)/2*(C49-C44),3)</f>
        <v>0.16500000000000001</v>
      </c>
      <c r="M49" s="203">
        <f t="shared" ref="M49" si="56">ROUND(+K49*L49,4)</f>
        <v>0.16589999999999999</v>
      </c>
      <c r="N49" s="206">
        <f t="shared" ref="N49" si="57">ROUND(+M49/$M$133*100,2)</f>
        <v>4.41</v>
      </c>
      <c r="O49" s="207"/>
      <c r="P49" s="20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24"/>
      <c r="C50" s="204"/>
      <c r="D50" s="204"/>
      <c r="E50" s="204"/>
      <c r="F50" s="41" t="s">
        <v>76</v>
      </c>
      <c r="G50" s="42">
        <f t="shared" ref="G50" si="58">IF(E49&lt;0.125,"NA",IF(0.125&lt;=E49,(0.2*E49)))</f>
        <v>6.3800000000000009E-2</v>
      </c>
      <c r="H50" s="43"/>
      <c r="I50" s="44"/>
      <c r="J50" s="45">
        <v>0.67</v>
      </c>
      <c r="K50" s="204"/>
      <c r="L50" s="204"/>
      <c r="M50" s="204"/>
      <c r="N50" s="204"/>
      <c r="O50" s="204"/>
      <c r="P50" s="20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24"/>
      <c r="C51" s="204"/>
      <c r="D51" s="204"/>
      <c r="E51" s="204"/>
      <c r="F51" s="41" t="s">
        <v>77</v>
      </c>
      <c r="G51" s="42">
        <f t="shared" ref="G51" si="59">+E49*0.4</f>
        <v>0.12760000000000002</v>
      </c>
      <c r="H51" s="43"/>
      <c r="I51" s="44"/>
      <c r="J51" s="45">
        <v>0.86199999999999999</v>
      </c>
      <c r="K51" s="204"/>
      <c r="L51" s="204"/>
      <c r="M51" s="204"/>
      <c r="N51" s="204"/>
      <c r="O51" s="204"/>
      <c r="P51" s="20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24"/>
      <c r="C52" s="204"/>
      <c r="D52" s="204"/>
      <c r="E52" s="204"/>
      <c r="F52" s="41" t="s">
        <v>78</v>
      </c>
      <c r="G52" s="42">
        <f t="shared" ref="G52" si="60">IF(E49&lt;0.125,"NA",IF(0.125&lt;=E49,(0.8*E49)))</f>
        <v>0.25520000000000004</v>
      </c>
      <c r="H52" s="43"/>
      <c r="I52" s="44"/>
      <c r="J52" s="45">
        <v>1.423</v>
      </c>
      <c r="K52" s="204"/>
      <c r="L52" s="204"/>
      <c r="M52" s="204"/>
      <c r="N52" s="204"/>
      <c r="O52" s="204"/>
      <c r="P52" s="209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5"/>
      <c r="C53" s="205"/>
      <c r="D53" s="205"/>
      <c r="E53" s="205"/>
      <c r="F53" s="46" t="s">
        <v>79</v>
      </c>
      <c r="G53" s="47">
        <f t="shared" ref="G53" si="61">+E49</f>
        <v>0.31900000000000001</v>
      </c>
      <c r="H53" s="48"/>
      <c r="I53" s="49"/>
      <c r="J53" s="50">
        <v>1.28</v>
      </c>
      <c r="K53" s="205"/>
      <c r="L53" s="205"/>
      <c r="M53" s="205"/>
      <c r="N53" s="205"/>
      <c r="O53" s="205"/>
      <c r="P53" s="210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 t="s">
        <v>107</v>
      </c>
      <c r="B54" s="223">
        <f t="shared" ref="B54" si="62">+B49+1</f>
        <v>8</v>
      </c>
      <c r="C54" s="226">
        <f t="shared" ref="C54" si="63">+C49+$N$12</f>
        <v>7.8</v>
      </c>
      <c r="D54" s="203">
        <v>0.67400000000000004</v>
      </c>
      <c r="E54" s="203">
        <v>0.54600000000000004</v>
      </c>
      <c r="F54" s="36" t="s">
        <v>75</v>
      </c>
      <c r="G54" s="37">
        <v>0</v>
      </c>
      <c r="H54" s="38"/>
      <c r="I54" s="39"/>
      <c r="J54" s="40">
        <v>0.51</v>
      </c>
      <c r="K54" s="203">
        <f t="shared" ref="K54" si="64">+IF(E54&lt;=0.12,(J56),(IF(E54&lt;0.16,((J55+2*J56+J57)/4),IF(E54&gt;=0.16,((J54+3*J55+2*J56+3*J57+J58)/10)))))</f>
        <v>1.2907999999999999</v>
      </c>
      <c r="L54" s="203">
        <f t="shared" ref="L54" si="65">ROUND(+(D49+D54)/2*(C54-C49),3)</f>
        <v>0.247</v>
      </c>
      <c r="M54" s="203">
        <f t="shared" ref="M54" si="66">ROUND(+K54*L54,4)</f>
        <v>0.31879999999999997</v>
      </c>
      <c r="N54" s="206">
        <f t="shared" ref="N54" si="67">ROUND(+M54/$M$133*100,2)</f>
        <v>8.4700000000000006</v>
      </c>
      <c r="O54" s="207"/>
      <c r="P54" s="20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24"/>
      <c r="C55" s="204"/>
      <c r="D55" s="204"/>
      <c r="E55" s="204"/>
      <c r="F55" s="41" t="s">
        <v>76</v>
      </c>
      <c r="G55" s="42">
        <f t="shared" ref="G55" si="68">IF(E54&lt;0.125,"NA",IF(0.125&lt;=E54,(0.2*E54)))</f>
        <v>0.10920000000000002</v>
      </c>
      <c r="H55" s="43"/>
      <c r="I55" s="44"/>
      <c r="J55" s="45">
        <v>1.2490000000000001</v>
      </c>
      <c r="K55" s="204"/>
      <c r="L55" s="204"/>
      <c r="M55" s="204"/>
      <c r="N55" s="204"/>
      <c r="O55" s="204"/>
      <c r="P55" s="209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24"/>
      <c r="C56" s="204"/>
      <c r="D56" s="204"/>
      <c r="E56" s="204"/>
      <c r="F56" s="41" t="s">
        <v>77</v>
      </c>
      <c r="G56" s="42">
        <f t="shared" ref="G56" si="69">+E54*0.4</f>
        <v>0.21840000000000004</v>
      </c>
      <c r="H56" s="43"/>
      <c r="I56" s="44"/>
      <c r="J56" s="45">
        <v>1.45</v>
      </c>
      <c r="K56" s="204"/>
      <c r="L56" s="204"/>
      <c r="M56" s="204"/>
      <c r="N56" s="204"/>
      <c r="O56" s="204"/>
      <c r="P56" s="209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24"/>
      <c r="C57" s="204"/>
      <c r="D57" s="204"/>
      <c r="E57" s="204"/>
      <c r="F57" s="41" t="s">
        <v>78</v>
      </c>
      <c r="G57" s="42">
        <f t="shared" ref="G57" si="70">IF(E54&lt;0.125,"NA",IF(0.125&lt;=E54,(0.8*E54)))</f>
        <v>0.43680000000000008</v>
      </c>
      <c r="H57" s="43"/>
      <c r="I57" s="44"/>
      <c r="J57" s="45">
        <v>1.452</v>
      </c>
      <c r="K57" s="204"/>
      <c r="L57" s="204"/>
      <c r="M57" s="204"/>
      <c r="N57" s="204"/>
      <c r="O57" s="204"/>
      <c r="P57" s="209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5"/>
      <c r="C58" s="205"/>
      <c r="D58" s="205"/>
      <c r="E58" s="205"/>
      <c r="F58" s="46" t="s">
        <v>79</v>
      </c>
      <c r="G58" s="47">
        <f t="shared" ref="G58" si="71">+E54</f>
        <v>0.54600000000000004</v>
      </c>
      <c r="H58" s="48"/>
      <c r="I58" s="49"/>
      <c r="J58" s="50">
        <v>1.395</v>
      </c>
      <c r="K58" s="205"/>
      <c r="L58" s="205"/>
      <c r="M58" s="205"/>
      <c r="N58" s="205"/>
      <c r="O58" s="205"/>
      <c r="P58" s="210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23">
        <f t="shared" ref="B59" si="72">+B54+1</f>
        <v>9</v>
      </c>
      <c r="C59" s="226">
        <f t="shared" ref="C59" si="73">+C54+$N$12</f>
        <v>8.3000000000000007</v>
      </c>
      <c r="D59" s="203">
        <v>0.76400000000000001</v>
      </c>
      <c r="E59" s="203">
        <v>0.77200000000000002</v>
      </c>
      <c r="F59" s="36" t="s">
        <v>75</v>
      </c>
      <c r="G59" s="37">
        <v>0</v>
      </c>
      <c r="H59" s="38"/>
      <c r="I59" s="39"/>
      <c r="J59" s="40">
        <v>0.32400000000000001</v>
      </c>
      <c r="K59" s="203">
        <f t="shared" ref="K59" si="74">+IF(E59&lt;=0.12,(J61),(IF(E59&lt;0.16,((J60+2*J61+J62)/4),IF(E59&gt;=0.16,((J59+3*J60+2*J61+3*J62+J63)/10)))))</f>
        <v>0.97789999999999999</v>
      </c>
      <c r="L59" s="203">
        <f t="shared" ref="L59" si="75">ROUND(+(D54+D59)/2*(C59-C54),3)</f>
        <v>0.36</v>
      </c>
      <c r="M59" s="203">
        <f t="shared" ref="M59" si="76">ROUND(+K59*L59,4)</f>
        <v>0.35199999999999998</v>
      </c>
      <c r="N59" s="206">
        <f t="shared" ref="N59" si="77">ROUND(+M59/$M$133*100,2)</f>
        <v>9.36</v>
      </c>
      <c r="O59" s="207"/>
      <c r="P59" s="20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24"/>
      <c r="C60" s="204"/>
      <c r="D60" s="204"/>
      <c r="E60" s="204"/>
      <c r="F60" s="41" t="s">
        <v>76</v>
      </c>
      <c r="G60" s="42">
        <f t="shared" ref="G60" si="78">IF(E59&lt;0.125,"NA",IF(0.125&lt;=E59,(0.2*E59)))</f>
        <v>0.15440000000000001</v>
      </c>
      <c r="H60" s="43"/>
      <c r="I60" s="44"/>
      <c r="J60" s="45">
        <v>0.754</v>
      </c>
      <c r="K60" s="204"/>
      <c r="L60" s="204"/>
      <c r="M60" s="204"/>
      <c r="N60" s="204"/>
      <c r="O60" s="204"/>
      <c r="P60" s="209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24"/>
      <c r="C61" s="204"/>
      <c r="D61" s="204"/>
      <c r="E61" s="204"/>
      <c r="F61" s="41" t="s">
        <v>77</v>
      </c>
      <c r="G61" s="42">
        <f t="shared" ref="G61" si="79">+E59*0.4</f>
        <v>0.30880000000000002</v>
      </c>
      <c r="H61" s="43"/>
      <c r="I61" s="44"/>
      <c r="J61" s="45">
        <v>1.109</v>
      </c>
      <c r="K61" s="204"/>
      <c r="L61" s="204"/>
      <c r="M61" s="204"/>
      <c r="N61" s="204"/>
      <c r="O61" s="204"/>
      <c r="P61" s="20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24"/>
      <c r="C62" s="204"/>
      <c r="D62" s="204"/>
      <c r="E62" s="204"/>
      <c r="F62" s="41" t="s">
        <v>78</v>
      </c>
      <c r="G62" s="42">
        <f t="shared" ref="G62" si="80">IF(E59&lt;0.125,"NA",IF(0.125&lt;=E59,(0.8*E59)))</f>
        <v>0.61760000000000004</v>
      </c>
      <c r="H62" s="43"/>
      <c r="I62" s="44"/>
      <c r="J62" s="45">
        <v>1.2589999999999999</v>
      </c>
      <c r="K62" s="204"/>
      <c r="L62" s="204"/>
      <c r="M62" s="204"/>
      <c r="N62" s="204"/>
      <c r="O62" s="204"/>
      <c r="P62" s="209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5"/>
      <c r="C63" s="205"/>
      <c r="D63" s="205"/>
      <c r="E63" s="205"/>
      <c r="F63" s="46" t="s">
        <v>79</v>
      </c>
      <c r="G63" s="47">
        <f t="shared" ref="G63" si="81">+E59</f>
        <v>0.77200000000000002</v>
      </c>
      <c r="H63" s="48"/>
      <c r="I63" s="49"/>
      <c r="J63" s="50">
        <v>1.198</v>
      </c>
      <c r="K63" s="205"/>
      <c r="L63" s="205"/>
      <c r="M63" s="205"/>
      <c r="N63" s="205"/>
      <c r="O63" s="205"/>
      <c r="P63" s="210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23">
        <f t="shared" ref="B64" si="82">+B59+1</f>
        <v>10</v>
      </c>
      <c r="C64" s="226">
        <f t="shared" ref="C64" si="83">+C59+$N$12</f>
        <v>8.8000000000000007</v>
      </c>
      <c r="D64" s="203">
        <v>0.79500000000000004</v>
      </c>
      <c r="E64" s="203">
        <v>0.74399999999999999</v>
      </c>
      <c r="F64" s="36" t="s">
        <v>75</v>
      </c>
      <c r="G64" s="37">
        <v>0</v>
      </c>
      <c r="H64" s="38"/>
      <c r="I64" s="39"/>
      <c r="J64" s="40">
        <v>4.7E-2</v>
      </c>
      <c r="K64" s="203">
        <f t="shared" ref="K64" si="84">+IF(E64&lt;=0.12,(J66),(IF(E64&lt;0.16,((J65+2*J66+J67)/4),IF(E64&gt;=0.16,((J64+3*J65+2*J66+3*J67+J68)/10)))))</f>
        <v>0.98540000000000005</v>
      </c>
      <c r="L64" s="203">
        <f t="shared" ref="L64" si="85">ROUND(+(D59+D64)/2*(C64-C59),3)</f>
        <v>0.39</v>
      </c>
      <c r="M64" s="203">
        <f t="shared" ref="M64" si="86">ROUND(+K64*L64,4)</f>
        <v>0.38429999999999997</v>
      </c>
      <c r="N64" s="206">
        <f t="shared" ref="N64" si="87">ROUND(+M64/$M$133*100,2)</f>
        <v>10.210000000000001</v>
      </c>
      <c r="O64" s="207"/>
      <c r="P64" s="20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24"/>
      <c r="C65" s="204"/>
      <c r="D65" s="204"/>
      <c r="E65" s="204"/>
      <c r="F65" s="41" t="s">
        <v>76</v>
      </c>
      <c r="G65" s="42">
        <f t="shared" ref="G65" si="88">IF(E64&lt;0.125,"NA",IF(0.125&lt;=E64,(0.2*E64)))</f>
        <v>0.14880000000000002</v>
      </c>
      <c r="H65" s="43"/>
      <c r="I65" s="44"/>
      <c r="J65" s="45">
        <v>0.71299999999999997</v>
      </c>
      <c r="K65" s="204"/>
      <c r="L65" s="204"/>
      <c r="M65" s="204"/>
      <c r="N65" s="204"/>
      <c r="O65" s="204"/>
      <c r="P65" s="209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24"/>
      <c r="C66" s="204"/>
      <c r="D66" s="204"/>
      <c r="E66" s="204"/>
      <c r="F66" s="41" t="s">
        <v>77</v>
      </c>
      <c r="G66" s="42">
        <f t="shared" ref="G66" si="89">+E64*0.4</f>
        <v>0.29760000000000003</v>
      </c>
      <c r="H66" s="43"/>
      <c r="I66" s="44"/>
      <c r="J66" s="45">
        <v>1.1599999999999999</v>
      </c>
      <c r="K66" s="204"/>
      <c r="L66" s="204"/>
      <c r="M66" s="204"/>
      <c r="N66" s="204"/>
      <c r="O66" s="204"/>
      <c r="P66" s="20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24"/>
      <c r="C67" s="204"/>
      <c r="D67" s="204"/>
      <c r="E67" s="204"/>
      <c r="F67" s="41" t="s">
        <v>78</v>
      </c>
      <c r="G67" s="42">
        <f t="shared" ref="G67" si="90">IF(E64&lt;0.125,"NA",IF(0.125&lt;=E64,(0.8*E64)))</f>
        <v>0.59520000000000006</v>
      </c>
      <c r="H67" s="43"/>
      <c r="I67" s="44"/>
      <c r="J67" s="45">
        <v>1.33</v>
      </c>
      <c r="K67" s="204"/>
      <c r="L67" s="204"/>
      <c r="M67" s="204"/>
      <c r="N67" s="204"/>
      <c r="O67" s="204"/>
      <c r="P67" s="209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5"/>
      <c r="C68" s="205"/>
      <c r="D68" s="205"/>
      <c r="E68" s="205"/>
      <c r="F68" s="46" t="s">
        <v>79</v>
      </c>
      <c r="G68" s="47">
        <f t="shared" ref="G68" si="91">+E64</f>
        <v>0.74399999999999999</v>
      </c>
      <c r="H68" s="48"/>
      <c r="I68" s="49"/>
      <c r="J68" s="50">
        <v>1.3580000000000001</v>
      </c>
      <c r="K68" s="205"/>
      <c r="L68" s="205"/>
      <c r="M68" s="205"/>
      <c r="N68" s="205"/>
      <c r="O68" s="205"/>
      <c r="P68" s="210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23">
        <f t="shared" ref="B69" si="92">+B64+1</f>
        <v>11</v>
      </c>
      <c r="C69" s="226">
        <f t="shared" ref="C69" si="93">+C64+$N$12</f>
        <v>9.3000000000000007</v>
      </c>
      <c r="D69" s="203">
        <v>0.65</v>
      </c>
      <c r="E69" s="203">
        <v>0.67</v>
      </c>
      <c r="F69" s="36" t="s">
        <v>75</v>
      </c>
      <c r="G69" s="37">
        <v>0</v>
      </c>
      <c r="H69" s="38"/>
      <c r="I69" s="39"/>
      <c r="J69" s="40">
        <v>0.502</v>
      </c>
      <c r="K69" s="203">
        <f t="shared" ref="K69" si="94">+IF(E69&lt;=0.12,(J71),(IF(E69&lt;0.16,((J70+2*J71+J72)/4),IF(E69&gt;=0.16,((J69+3*J70+2*J71+3*J72+J73)/10)))))</f>
        <v>0.94940000000000002</v>
      </c>
      <c r="L69" s="203">
        <f t="shared" ref="L69" si="95">ROUND(+(D64+D69)/2*(C69-C64),3)</f>
        <v>0.36099999999999999</v>
      </c>
      <c r="M69" s="203">
        <f t="shared" ref="M69" si="96">ROUND(+K69*L69,4)</f>
        <v>0.3427</v>
      </c>
      <c r="N69" s="206">
        <f t="shared" ref="N69" si="97">ROUND(+M69/$M$133*100,2)</f>
        <v>9.11</v>
      </c>
      <c r="O69" s="207"/>
      <c r="P69" s="208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24"/>
      <c r="C70" s="204"/>
      <c r="D70" s="204"/>
      <c r="E70" s="204"/>
      <c r="F70" s="41" t="s">
        <v>76</v>
      </c>
      <c r="G70" s="42">
        <f t="shared" ref="G70" si="98">IF(E69&lt;0.125,"NA",IF(0.125&lt;=E69,(0.2*E69)))</f>
        <v>0.13400000000000001</v>
      </c>
      <c r="H70" s="43"/>
      <c r="I70" s="44"/>
      <c r="J70" s="45">
        <v>0.80600000000000005</v>
      </c>
      <c r="K70" s="204"/>
      <c r="L70" s="204"/>
      <c r="M70" s="204"/>
      <c r="N70" s="204"/>
      <c r="O70" s="204"/>
      <c r="P70" s="209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24"/>
      <c r="C71" s="204"/>
      <c r="D71" s="204"/>
      <c r="E71" s="204"/>
      <c r="F71" s="41" t="s">
        <v>77</v>
      </c>
      <c r="G71" s="42">
        <f t="shared" ref="G71" si="99">+E69*0.4</f>
        <v>0.26800000000000002</v>
      </c>
      <c r="H71" s="43"/>
      <c r="I71" s="44"/>
      <c r="J71" s="45">
        <v>1.0089999999999999</v>
      </c>
      <c r="K71" s="204"/>
      <c r="L71" s="204"/>
      <c r="M71" s="204"/>
      <c r="N71" s="204"/>
      <c r="O71" s="204"/>
      <c r="P71" s="209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24"/>
      <c r="C72" s="204"/>
      <c r="D72" s="204"/>
      <c r="E72" s="204"/>
      <c r="F72" s="41" t="s">
        <v>78</v>
      </c>
      <c r="G72" s="42">
        <f t="shared" ref="G72" si="100">IF(E69&lt;0.125,"NA",IF(0.125&lt;=E69,(0.8*E69)))</f>
        <v>0.53600000000000003</v>
      </c>
      <c r="H72" s="43"/>
      <c r="I72" s="44"/>
      <c r="J72" s="45">
        <v>1.147</v>
      </c>
      <c r="K72" s="204"/>
      <c r="L72" s="204"/>
      <c r="M72" s="204"/>
      <c r="N72" s="204"/>
      <c r="O72" s="204"/>
      <c r="P72" s="209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25"/>
      <c r="C73" s="205"/>
      <c r="D73" s="205"/>
      <c r="E73" s="205"/>
      <c r="F73" s="46" t="s">
        <v>79</v>
      </c>
      <c r="G73" s="47">
        <f t="shared" ref="G73" si="101">+E69</f>
        <v>0.67</v>
      </c>
      <c r="H73" s="48"/>
      <c r="I73" s="49"/>
      <c r="J73" s="50">
        <v>1.115</v>
      </c>
      <c r="K73" s="205"/>
      <c r="L73" s="205"/>
      <c r="M73" s="205"/>
      <c r="N73" s="205"/>
      <c r="O73" s="205"/>
      <c r="P73" s="210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23">
        <f t="shared" ref="B74" si="102">+B69+1</f>
        <v>12</v>
      </c>
      <c r="C74" s="226">
        <f t="shared" ref="C74" si="103">+C69+$N$12</f>
        <v>9.8000000000000007</v>
      </c>
      <c r="D74" s="203">
        <v>0.6</v>
      </c>
      <c r="E74" s="203">
        <v>0.64500000000000002</v>
      </c>
      <c r="F74" s="36" t="s">
        <v>75</v>
      </c>
      <c r="G74" s="37">
        <v>0</v>
      </c>
      <c r="H74" s="38"/>
      <c r="I74" s="39"/>
      <c r="J74" s="40">
        <v>0.81</v>
      </c>
      <c r="K74" s="203">
        <f t="shared" ref="K74" si="104">+IF(E74&lt;=0.12,(J76),(IF(E74&lt;0.16,((J75+2*J76+J77)/4),IF(E74&gt;=0.16,((J74+3*J75+2*J76+3*J77+J78)/10)))))</f>
        <v>0.96829999999999994</v>
      </c>
      <c r="L74" s="203">
        <f t="shared" ref="L74" si="105">ROUND(+(D69+D74)/2*(C74-C69),3)</f>
        <v>0.313</v>
      </c>
      <c r="M74" s="203">
        <f t="shared" ref="M74" si="106">ROUND(+K74*L74,4)</f>
        <v>0.30309999999999998</v>
      </c>
      <c r="N74" s="206">
        <f t="shared" ref="N74" si="107">ROUND(+M74/$M$133*100,2)</f>
        <v>8.06</v>
      </c>
      <c r="O74" s="207"/>
      <c r="P74" s="208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24"/>
      <c r="C75" s="204"/>
      <c r="D75" s="204"/>
      <c r="E75" s="204"/>
      <c r="F75" s="41" t="s">
        <v>76</v>
      </c>
      <c r="G75" s="42">
        <f t="shared" ref="G75" si="108">IF(E74&lt;0.125,"NA",IF(0.125&lt;=E74,(0.2*E74)))</f>
        <v>0.129</v>
      </c>
      <c r="H75" s="43"/>
      <c r="I75" s="44"/>
      <c r="J75" s="45">
        <v>0.91200000000000003</v>
      </c>
      <c r="K75" s="204"/>
      <c r="L75" s="204"/>
      <c r="M75" s="204"/>
      <c r="N75" s="204"/>
      <c r="O75" s="204"/>
      <c r="P75" s="209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24"/>
      <c r="C76" s="204"/>
      <c r="D76" s="204"/>
      <c r="E76" s="204"/>
      <c r="F76" s="41" t="s">
        <v>77</v>
      </c>
      <c r="G76" s="42">
        <f t="shared" ref="G76" si="109">+E74*0.4</f>
        <v>0.25800000000000001</v>
      </c>
      <c r="H76" s="43"/>
      <c r="I76" s="44"/>
      <c r="J76" s="45">
        <v>1.038</v>
      </c>
      <c r="K76" s="204"/>
      <c r="L76" s="204"/>
      <c r="M76" s="204"/>
      <c r="N76" s="204"/>
      <c r="O76" s="204"/>
      <c r="P76" s="209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24"/>
      <c r="C77" s="204"/>
      <c r="D77" s="204"/>
      <c r="E77" s="204"/>
      <c r="F77" s="41" t="s">
        <v>78</v>
      </c>
      <c r="G77" s="42">
        <f t="shared" ref="G77" si="110">IF(E74&lt;0.125,"NA",IF(0.125&lt;=E74,(0.8*E74)))</f>
        <v>0.51600000000000001</v>
      </c>
      <c r="H77" s="43"/>
      <c r="I77" s="44"/>
      <c r="J77" s="45">
        <v>1.0409999999999999</v>
      </c>
      <c r="K77" s="204"/>
      <c r="L77" s="204"/>
      <c r="M77" s="204"/>
      <c r="N77" s="204"/>
      <c r="O77" s="204"/>
      <c r="P77" s="209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25"/>
      <c r="C78" s="205"/>
      <c r="D78" s="205"/>
      <c r="E78" s="205"/>
      <c r="F78" s="46" t="s">
        <v>79</v>
      </c>
      <c r="G78" s="47">
        <f t="shared" ref="G78" si="111">+E74</f>
        <v>0.64500000000000002</v>
      </c>
      <c r="H78" s="48"/>
      <c r="I78" s="49"/>
      <c r="J78" s="50">
        <v>0.93799999999999994</v>
      </c>
      <c r="K78" s="205"/>
      <c r="L78" s="205"/>
      <c r="M78" s="205"/>
      <c r="N78" s="205"/>
      <c r="O78" s="205"/>
      <c r="P78" s="210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23">
        <f t="shared" ref="B79" si="112">+B74+1</f>
        <v>13</v>
      </c>
      <c r="C79" s="226">
        <f t="shared" ref="C79" si="113">+C74+$N$12</f>
        <v>10.3</v>
      </c>
      <c r="D79" s="203">
        <v>0.50800000000000001</v>
      </c>
      <c r="E79" s="203">
        <v>0.55500000000000005</v>
      </c>
      <c r="F79" s="36" t="s">
        <v>75</v>
      </c>
      <c r="G79" s="37">
        <v>0</v>
      </c>
      <c r="H79" s="38"/>
      <c r="I79" s="39"/>
      <c r="J79" s="40">
        <v>0.92800000000000005</v>
      </c>
      <c r="K79" s="203">
        <f t="shared" ref="K79" si="114">+IF(E79&lt;=0.12,(J81),(IF(E79&lt;0.16,((J80+2*J81+J82)/4),IF(E79&gt;=0.16,((J79+3*J80+2*J81+3*J82+J83)/10)))))</f>
        <v>0.8405999999999999</v>
      </c>
      <c r="L79" s="203">
        <f t="shared" ref="L79" si="115">ROUND(+(D74+D79)/2*(C79-C74),3)</f>
        <v>0.27700000000000002</v>
      </c>
      <c r="M79" s="203">
        <f t="shared" ref="M79" si="116">ROUND(+K79*L79,4)</f>
        <v>0.23280000000000001</v>
      </c>
      <c r="N79" s="206">
        <f t="shared" ref="N79" si="117">ROUND(+M79/$M$133*100,2)</f>
        <v>6.19</v>
      </c>
      <c r="O79" s="207"/>
      <c r="P79" s="208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24"/>
      <c r="C80" s="204"/>
      <c r="D80" s="204"/>
      <c r="E80" s="204"/>
      <c r="F80" s="41" t="s">
        <v>76</v>
      </c>
      <c r="G80" s="42">
        <f t="shared" ref="G80" si="118">IF(E79&lt;0.125,"NA",IF(0.125&lt;=E79,(0.2*E79)))</f>
        <v>0.11100000000000002</v>
      </c>
      <c r="H80" s="43"/>
      <c r="I80" s="44"/>
      <c r="J80" s="45">
        <v>0.7</v>
      </c>
      <c r="K80" s="204"/>
      <c r="L80" s="204"/>
      <c r="M80" s="204"/>
      <c r="N80" s="204"/>
      <c r="O80" s="204"/>
      <c r="P80" s="209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24"/>
      <c r="C81" s="204"/>
      <c r="D81" s="204"/>
      <c r="E81" s="204"/>
      <c r="F81" s="41" t="s">
        <v>77</v>
      </c>
      <c r="G81" s="42">
        <f t="shared" ref="G81" si="119">+E79*0.4</f>
        <v>0.22200000000000003</v>
      </c>
      <c r="H81" s="43"/>
      <c r="I81" s="44"/>
      <c r="J81" s="45">
        <v>0.70299999999999996</v>
      </c>
      <c r="K81" s="204"/>
      <c r="L81" s="204"/>
      <c r="M81" s="204"/>
      <c r="N81" s="204"/>
      <c r="O81" s="204"/>
      <c r="P81" s="209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24"/>
      <c r="C82" s="204"/>
      <c r="D82" s="204"/>
      <c r="E82" s="204"/>
      <c r="F82" s="41" t="s">
        <v>78</v>
      </c>
      <c r="G82" s="42">
        <f t="shared" ref="G82" si="120">IF(E79&lt;0.125,"NA",IF(0.125&lt;=E79,(0.8*E79)))</f>
        <v>0.44400000000000006</v>
      </c>
      <c r="H82" s="43"/>
      <c r="I82" s="44"/>
      <c r="J82" s="45">
        <v>0.94399999999999995</v>
      </c>
      <c r="K82" s="204"/>
      <c r="L82" s="204"/>
      <c r="M82" s="204"/>
      <c r="N82" s="204"/>
      <c r="O82" s="204"/>
      <c r="P82" s="209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25"/>
      <c r="C83" s="205"/>
      <c r="D83" s="205"/>
      <c r="E83" s="205"/>
      <c r="F83" s="46" t="s">
        <v>79</v>
      </c>
      <c r="G83" s="47">
        <f t="shared" ref="G83" si="121">+E79</f>
        <v>0.55500000000000005</v>
      </c>
      <c r="H83" s="48"/>
      <c r="I83" s="49"/>
      <c r="J83" s="50">
        <v>1.1399999999999999</v>
      </c>
      <c r="K83" s="205"/>
      <c r="L83" s="205"/>
      <c r="M83" s="205"/>
      <c r="N83" s="205"/>
      <c r="O83" s="205"/>
      <c r="P83" s="210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23">
        <f t="shared" ref="B84" si="122">+B79+1</f>
        <v>14</v>
      </c>
      <c r="C84" s="226">
        <f t="shared" ref="C84" si="123">+C79+$N$12</f>
        <v>10.8</v>
      </c>
      <c r="D84" s="203">
        <v>0.56999999999999995</v>
      </c>
      <c r="E84" s="203">
        <v>0.49</v>
      </c>
      <c r="F84" s="36" t="s">
        <v>75</v>
      </c>
      <c r="G84" s="37">
        <v>0</v>
      </c>
      <c r="H84" s="38"/>
      <c r="I84" s="39"/>
      <c r="J84" s="40">
        <v>1.0820000000000001</v>
      </c>
      <c r="K84" s="203">
        <f t="shared" ref="K84" si="124">+IF(E84&lt;=0.12,(J86),(IF(E84&lt;0.16,((J85+2*J86+J87)/4),IF(E84&gt;=0.16,((J84+3*J85+2*J86+3*J87+J88)/10)))))</f>
        <v>1.1918</v>
      </c>
      <c r="L84" s="203">
        <f t="shared" ref="L84" si="125">ROUND(+(D79+D84)/2*(C84-C79),3)</f>
        <v>0.27</v>
      </c>
      <c r="M84" s="203">
        <f t="shared" ref="M84" si="126">ROUND(+K84*L84,4)</f>
        <v>0.32179999999999997</v>
      </c>
      <c r="N84" s="206">
        <f t="shared" ref="N84" si="127">ROUND(+M84/$M$133*100,2)</f>
        <v>8.5500000000000007</v>
      </c>
      <c r="O84" s="207"/>
      <c r="P84" s="208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24"/>
      <c r="C85" s="204"/>
      <c r="D85" s="204"/>
      <c r="E85" s="204"/>
      <c r="F85" s="41" t="s">
        <v>76</v>
      </c>
      <c r="G85" s="42">
        <f t="shared" ref="G85" si="128">IF(E84&lt;0.125,"NA",IF(0.125&lt;=E84,(0.2*E84)))</f>
        <v>9.8000000000000004E-2</v>
      </c>
      <c r="H85" s="43"/>
      <c r="I85" s="44"/>
      <c r="J85" s="45">
        <v>1.171</v>
      </c>
      <c r="K85" s="204"/>
      <c r="L85" s="204"/>
      <c r="M85" s="204"/>
      <c r="N85" s="204"/>
      <c r="O85" s="204"/>
      <c r="P85" s="209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24"/>
      <c r="C86" s="204"/>
      <c r="D86" s="204"/>
      <c r="E86" s="204"/>
      <c r="F86" s="41" t="s">
        <v>77</v>
      </c>
      <c r="G86" s="42">
        <f t="shared" ref="G86" si="129">+E84*0.4</f>
        <v>0.19600000000000001</v>
      </c>
      <c r="H86" s="43"/>
      <c r="I86" s="44"/>
      <c r="J86" s="45">
        <v>1.212</v>
      </c>
      <c r="K86" s="204"/>
      <c r="L86" s="204"/>
      <c r="M86" s="204"/>
      <c r="N86" s="204"/>
      <c r="O86" s="204"/>
      <c r="P86" s="209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24"/>
      <c r="C87" s="204"/>
      <c r="D87" s="204"/>
      <c r="E87" s="204"/>
      <c r="F87" s="41" t="s">
        <v>78</v>
      </c>
      <c r="G87" s="42">
        <f t="shared" ref="G87" si="130">IF(E84&lt;0.125,"NA",IF(0.125&lt;=E84,(0.8*E84)))</f>
        <v>0.39200000000000002</v>
      </c>
      <c r="H87" s="43"/>
      <c r="I87" s="44"/>
      <c r="J87" s="45">
        <v>1.224</v>
      </c>
      <c r="K87" s="204"/>
      <c r="L87" s="204"/>
      <c r="M87" s="204"/>
      <c r="N87" s="204"/>
      <c r="O87" s="204"/>
      <c r="P87" s="209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25"/>
      <c r="C88" s="205"/>
      <c r="D88" s="205"/>
      <c r="E88" s="205"/>
      <c r="F88" s="46" t="s">
        <v>79</v>
      </c>
      <c r="G88" s="47">
        <f t="shared" ref="G88" si="131">+E84</f>
        <v>0.49</v>
      </c>
      <c r="H88" s="48"/>
      <c r="I88" s="49"/>
      <c r="J88" s="50">
        <v>1.2270000000000001</v>
      </c>
      <c r="K88" s="205"/>
      <c r="L88" s="205"/>
      <c r="M88" s="205"/>
      <c r="N88" s="205"/>
      <c r="O88" s="205"/>
      <c r="P88" s="210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 t="s">
        <v>107</v>
      </c>
      <c r="B89" s="223">
        <f t="shared" ref="B89" si="132">+B84+1</f>
        <v>15</v>
      </c>
      <c r="C89" s="226">
        <f t="shared" ref="C89" si="133">+C84+$N$12</f>
        <v>11.3</v>
      </c>
      <c r="D89" s="203">
        <v>0.56999999999999995</v>
      </c>
      <c r="E89" s="203">
        <v>0.47</v>
      </c>
      <c r="F89" s="36" t="s">
        <v>75</v>
      </c>
      <c r="G89" s="37">
        <v>0</v>
      </c>
      <c r="H89" s="38"/>
      <c r="I89" s="39"/>
      <c r="J89" s="40">
        <v>0.68600000000000005</v>
      </c>
      <c r="K89" s="203">
        <f t="shared" ref="K89" si="134">+IF(E89&lt;=0.12,(J91),(IF(E89&lt;0.16,((J90+2*J91+J92)/4),IF(E89&gt;=0.16,((J89+3*J90+2*J91+3*J92+J93)/10)))))</f>
        <v>0.63170000000000004</v>
      </c>
      <c r="L89" s="203">
        <f t="shared" ref="L89" si="135">ROUND(+(D84+D89)/2*(C89-C84),3)</f>
        <v>0.28499999999999998</v>
      </c>
      <c r="M89" s="203">
        <f t="shared" ref="M89" si="136">ROUND(+K89*L89,4)</f>
        <v>0.18</v>
      </c>
      <c r="N89" s="206">
        <f t="shared" ref="N89" si="137">ROUND(+M89/$M$133*100,2)</f>
        <v>4.78</v>
      </c>
      <c r="O89" s="207"/>
      <c r="P89" s="208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24"/>
      <c r="C90" s="204"/>
      <c r="D90" s="204"/>
      <c r="E90" s="204"/>
      <c r="F90" s="41" t="s">
        <v>76</v>
      </c>
      <c r="G90" s="42">
        <f t="shared" ref="G90" si="138">IF(E89&lt;0.125,"NA",IF(0.125&lt;=E89,(0.2*E89)))</f>
        <v>9.4E-2</v>
      </c>
      <c r="H90" s="43"/>
      <c r="I90" s="44"/>
      <c r="J90" s="45">
        <v>0.55200000000000005</v>
      </c>
      <c r="K90" s="204"/>
      <c r="L90" s="204"/>
      <c r="M90" s="204"/>
      <c r="N90" s="204"/>
      <c r="O90" s="204"/>
      <c r="P90" s="209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24"/>
      <c r="C91" s="204"/>
      <c r="D91" s="204"/>
      <c r="E91" s="204"/>
      <c r="F91" s="41" t="s">
        <v>77</v>
      </c>
      <c r="G91" s="42">
        <f t="shared" ref="G91" si="139">+E89*0.4</f>
        <v>0.188</v>
      </c>
      <c r="H91" s="43"/>
      <c r="I91" s="44"/>
      <c r="J91" s="45">
        <v>0.65400000000000003</v>
      </c>
      <c r="K91" s="204"/>
      <c r="L91" s="204"/>
      <c r="M91" s="204"/>
      <c r="N91" s="204"/>
      <c r="O91" s="204"/>
      <c r="P91" s="209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24"/>
      <c r="C92" s="204"/>
      <c r="D92" s="204"/>
      <c r="E92" s="204"/>
      <c r="F92" s="41" t="s">
        <v>78</v>
      </c>
      <c r="G92" s="42">
        <f t="shared" ref="G92" si="140">IF(E89&lt;0.125,"NA",IF(0.125&lt;=E89,(0.8*E89)))</f>
        <v>0.376</v>
      </c>
      <c r="H92" s="43"/>
      <c r="I92" s="44"/>
      <c r="J92" s="45">
        <v>0.66400000000000003</v>
      </c>
      <c r="K92" s="204"/>
      <c r="L92" s="204"/>
      <c r="M92" s="204"/>
      <c r="N92" s="204"/>
      <c r="O92" s="204"/>
      <c r="P92" s="209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25"/>
      <c r="C93" s="205"/>
      <c r="D93" s="205"/>
      <c r="E93" s="205"/>
      <c r="F93" s="46" t="s">
        <v>79</v>
      </c>
      <c r="G93" s="47">
        <f t="shared" ref="G93" si="141">+E89</f>
        <v>0.47</v>
      </c>
      <c r="H93" s="48"/>
      <c r="I93" s="49"/>
      <c r="J93" s="50">
        <v>0.67500000000000004</v>
      </c>
      <c r="K93" s="205"/>
      <c r="L93" s="205"/>
      <c r="M93" s="205"/>
      <c r="N93" s="205"/>
      <c r="O93" s="205"/>
      <c r="P93" s="210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23">
        <f t="shared" ref="B94" si="142">+B89+1</f>
        <v>16</v>
      </c>
      <c r="C94" s="226">
        <f t="shared" ref="C94" si="143">+C89+$N$12</f>
        <v>11.8</v>
      </c>
      <c r="D94" s="203">
        <v>0.42</v>
      </c>
      <c r="E94" s="203">
        <v>0.34</v>
      </c>
      <c r="F94" s="36" t="s">
        <v>75</v>
      </c>
      <c r="G94" s="37">
        <v>0</v>
      </c>
      <c r="H94" s="38"/>
      <c r="I94" s="39"/>
      <c r="J94" s="40">
        <v>0.27300000000000002</v>
      </c>
      <c r="K94" s="203">
        <f t="shared" ref="K94" si="144">+IF(E94&lt;=0.12,(J96),(IF(E94&lt;0.16,((J95+2*J96+J97)/4),IF(E94&gt;=0.16,((J94+3*J95+2*J96+3*J97+J98)/10)))))</f>
        <v>0.28070000000000001</v>
      </c>
      <c r="L94" s="203">
        <f t="shared" ref="L94" si="145">ROUND(+(D89+D94)/2*(C94-C89),3)</f>
        <v>0.248</v>
      </c>
      <c r="M94" s="203">
        <f t="shared" ref="M94" si="146">ROUND(+K94*L94,4)</f>
        <v>6.9599999999999995E-2</v>
      </c>
      <c r="N94" s="206">
        <f t="shared" ref="N94" si="147">ROUND(+M94/$M$133*100,2)</f>
        <v>1.85</v>
      </c>
      <c r="O94" s="207"/>
      <c r="P94" s="208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24"/>
      <c r="C95" s="204"/>
      <c r="D95" s="204"/>
      <c r="E95" s="204"/>
      <c r="F95" s="41" t="s">
        <v>76</v>
      </c>
      <c r="G95" s="42">
        <f t="shared" ref="G95" si="148">IF(E94&lt;0.125,"NA",IF(0.125&lt;=E94,(0.2*E94)))</f>
        <v>6.8000000000000005E-2</v>
      </c>
      <c r="H95" s="43"/>
      <c r="I95" s="44"/>
      <c r="J95" s="45">
        <v>0.217</v>
      </c>
      <c r="K95" s="204"/>
      <c r="L95" s="204"/>
      <c r="M95" s="204"/>
      <c r="N95" s="204"/>
      <c r="O95" s="204"/>
      <c r="P95" s="209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24"/>
      <c r="C96" s="204"/>
      <c r="D96" s="204"/>
      <c r="E96" s="204"/>
      <c r="F96" s="41" t="s">
        <v>77</v>
      </c>
      <c r="G96" s="42">
        <f t="shared" ref="G96" si="149">+E94*0.4</f>
        <v>0.13600000000000001</v>
      </c>
      <c r="H96" s="43"/>
      <c r="I96" s="44"/>
      <c r="J96" s="45">
        <v>0.29799999999999999</v>
      </c>
      <c r="K96" s="204"/>
      <c r="L96" s="204"/>
      <c r="M96" s="204"/>
      <c r="N96" s="204"/>
      <c r="O96" s="204"/>
      <c r="P96" s="209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24"/>
      <c r="C97" s="204"/>
      <c r="D97" s="204"/>
      <c r="E97" s="204"/>
      <c r="F97" s="41" t="s">
        <v>78</v>
      </c>
      <c r="G97" s="42">
        <f t="shared" ref="G97" si="150">IF(E94&lt;0.125,"NA",IF(0.125&lt;=E94,(0.8*E94)))</f>
        <v>0.27200000000000002</v>
      </c>
      <c r="H97" s="43"/>
      <c r="I97" s="44"/>
      <c r="J97" s="45">
        <v>0.32400000000000001</v>
      </c>
      <c r="K97" s="204"/>
      <c r="L97" s="204"/>
      <c r="M97" s="204"/>
      <c r="N97" s="204"/>
      <c r="O97" s="204"/>
      <c r="P97" s="209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25"/>
      <c r="C98" s="205"/>
      <c r="D98" s="205"/>
      <c r="E98" s="205"/>
      <c r="F98" s="46" t="s">
        <v>79</v>
      </c>
      <c r="G98" s="47">
        <f t="shared" ref="G98" si="151">+E94</f>
        <v>0.34</v>
      </c>
      <c r="H98" s="48"/>
      <c r="I98" s="49"/>
      <c r="J98" s="50">
        <v>0.315</v>
      </c>
      <c r="K98" s="205"/>
      <c r="L98" s="205"/>
      <c r="M98" s="205"/>
      <c r="N98" s="205"/>
      <c r="O98" s="205"/>
      <c r="P98" s="210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23">
        <f t="shared" ref="B99" si="152">+B94+1</f>
        <v>17</v>
      </c>
      <c r="C99" s="226">
        <f t="shared" ref="C99" si="153">+C94+$N$12</f>
        <v>12.3</v>
      </c>
      <c r="D99" s="203">
        <v>0.216</v>
      </c>
      <c r="E99" s="203">
        <v>0.42</v>
      </c>
      <c r="F99" s="36" t="s">
        <v>75</v>
      </c>
      <c r="G99" s="37">
        <v>0</v>
      </c>
      <c r="H99" s="38"/>
      <c r="I99" s="39"/>
      <c r="J99" s="40">
        <v>8.7999999999999995E-2</v>
      </c>
      <c r="K99" s="203">
        <f t="shared" ref="K99" si="154">+IF(E99&lt;=0.12,(J101),(IF(E99&lt;0.16,((J100+2*J101+J102)/4),IF(E99&gt;=0.16,((J99+3*J100+2*J101+3*J102+J103)/10)))))</f>
        <v>0.23900000000000002</v>
      </c>
      <c r="L99" s="203">
        <f t="shared" ref="L99" si="155">ROUND(+(D94+D99)/2*(C99-C94),3)</f>
        <v>0.159</v>
      </c>
      <c r="M99" s="203">
        <f t="shared" ref="M99" si="156">ROUND(+K99*L99,4)</f>
        <v>3.7999999999999999E-2</v>
      </c>
      <c r="N99" s="206">
        <f t="shared" ref="N99" si="157">ROUND(+M99/$M$133*100,2)</f>
        <v>1.01</v>
      </c>
      <c r="O99" s="207"/>
      <c r="P99" s="208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24"/>
      <c r="C100" s="204"/>
      <c r="D100" s="204"/>
      <c r="E100" s="204"/>
      <c r="F100" s="41" t="s">
        <v>76</v>
      </c>
      <c r="G100" s="42">
        <f t="shared" ref="G100" si="158">IF(E99&lt;0.125,"NA",IF(0.125&lt;=E99,(0.2*E99)))</f>
        <v>8.4000000000000005E-2</v>
      </c>
      <c r="H100" s="43"/>
      <c r="I100" s="44"/>
      <c r="J100" s="45">
        <v>0.23599999999999999</v>
      </c>
      <c r="K100" s="204"/>
      <c r="L100" s="204"/>
      <c r="M100" s="204"/>
      <c r="N100" s="204"/>
      <c r="O100" s="204"/>
      <c r="P100" s="209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24"/>
      <c r="C101" s="204"/>
      <c r="D101" s="204"/>
      <c r="E101" s="204"/>
      <c r="F101" s="41" t="s">
        <v>77</v>
      </c>
      <c r="G101" s="42">
        <f t="shared" ref="G101" si="159">+E99*0.4</f>
        <v>0.16800000000000001</v>
      </c>
      <c r="H101" s="43"/>
      <c r="I101" s="44"/>
      <c r="J101" s="45">
        <v>0.25800000000000001</v>
      </c>
      <c r="K101" s="204"/>
      <c r="L101" s="204"/>
      <c r="M101" s="204"/>
      <c r="N101" s="204"/>
      <c r="O101" s="204"/>
      <c r="P101" s="209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24"/>
      <c r="C102" s="204"/>
      <c r="D102" s="204"/>
      <c r="E102" s="204"/>
      <c r="F102" s="41" t="s">
        <v>78</v>
      </c>
      <c r="G102" s="42">
        <f t="shared" ref="G102" si="160">IF(E99&lt;0.125,"NA",IF(0.125&lt;=E99,(0.8*E99)))</f>
        <v>0.33600000000000002</v>
      </c>
      <c r="H102" s="43"/>
      <c r="I102" s="44"/>
      <c r="J102" s="45">
        <v>0.26400000000000001</v>
      </c>
      <c r="K102" s="204"/>
      <c r="L102" s="204"/>
      <c r="M102" s="204"/>
      <c r="N102" s="204"/>
      <c r="O102" s="204"/>
      <c r="P102" s="209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25"/>
      <c r="C103" s="205"/>
      <c r="D103" s="205"/>
      <c r="E103" s="205"/>
      <c r="F103" s="46" t="s">
        <v>79</v>
      </c>
      <c r="G103" s="47">
        <f t="shared" ref="G103" si="161">+E99</f>
        <v>0.42</v>
      </c>
      <c r="H103" s="48"/>
      <c r="I103" s="49"/>
      <c r="J103" s="50">
        <v>0.28599999999999998</v>
      </c>
      <c r="K103" s="205"/>
      <c r="L103" s="205"/>
      <c r="M103" s="205"/>
      <c r="N103" s="205"/>
      <c r="O103" s="205"/>
      <c r="P103" s="210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23">
        <f t="shared" ref="B104" si="162">+B99+1</f>
        <v>18</v>
      </c>
      <c r="C104" s="226">
        <f t="shared" ref="C104" si="163">+C99+$N$12</f>
        <v>12.8</v>
      </c>
      <c r="D104" s="203">
        <v>0.12</v>
      </c>
      <c r="E104" s="203">
        <v>0.13</v>
      </c>
      <c r="F104" s="36" t="s">
        <v>75</v>
      </c>
      <c r="G104" s="37">
        <v>0</v>
      </c>
      <c r="H104" s="38"/>
      <c r="I104" s="39"/>
      <c r="J104" s="40">
        <v>0.27500000000000002</v>
      </c>
      <c r="K104" s="203">
        <f t="shared" ref="K104" si="164">+IF(E104&lt;=0.12,(J106),(IF(E104&lt;0.16,((J105+2*J106+J107)/4),IF(E104&gt;=0.16,((J104+3*J105+2*J106+3*J107+J108)/10)))))</f>
        <v>0.29949999999999999</v>
      </c>
      <c r="L104" s="203">
        <f t="shared" ref="L104" si="165">ROUND(+(D99+D104)/2*(C104-C99),3)</f>
        <v>8.4000000000000005E-2</v>
      </c>
      <c r="M104" s="203">
        <f t="shared" ref="M104" si="166">ROUND(+K104*L104,4)</f>
        <v>2.52E-2</v>
      </c>
      <c r="N104" s="206">
        <f t="shared" ref="N104" si="167">ROUND(+M104/$M$133*100,2)</f>
        <v>0.67</v>
      </c>
      <c r="O104" s="207"/>
      <c r="P104" s="208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24"/>
      <c r="C105" s="204"/>
      <c r="D105" s="204"/>
      <c r="E105" s="204"/>
      <c r="F105" s="41" t="s">
        <v>76</v>
      </c>
      <c r="G105" s="42">
        <f t="shared" ref="G105" si="168">IF(E104&lt;0.125,"NA",IF(0.125&lt;=E104,(0.2*E104)))</f>
        <v>2.6000000000000002E-2</v>
      </c>
      <c r="H105" s="43"/>
      <c r="I105" s="44"/>
      <c r="J105" s="45">
        <v>0.27500000000000002</v>
      </c>
      <c r="K105" s="204"/>
      <c r="L105" s="204"/>
      <c r="M105" s="204"/>
      <c r="N105" s="204"/>
      <c r="O105" s="204"/>
      <c r="P105" s="209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24"/>
      <c r="C106" s="204"/>
      <c r="D106" s="204"/>
      <c r="E106" s="204"/>
      <c r="F106" s="41" t="s">
        <v>77</v>
      </c>
      <c r="G106" s="42">
        <f t="shared" ref="G106" si="169">+E104*0.4</f>
        <v>5.2000000000000005E-2</v>
      </c>
      <c r="H106" s="43"/>
      <c r="I106" s="44"/>
      <c r="J106" s="45">
        <v>0.29299999999999998</v>
      </c>
      <c r="K106" s="204"/>
      <c r="L106" s="204"/>
      <c r="M106" s="204"/>
      <c r="N106" s="204"/>
      <c r="O106" s="204"/>
      <c r="P106" s="209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24"/>
      <c r="C107" s="204"/>
      <c r="D107" s="204"/>
      <c r="E107" s="204"/>
      <c r="F107" s="41" t="s">
        <v>78</v>
      </c>
      <c r="G107" s="42">
        <f t="shared" ref="G107" si="170">IF(E104&lt;0.125,"NA",IF(0.125&lt;=E104,(0.8*E104)))</f>
        <v>0.10400000000000001</v>
      </c>
      <c r="H107" s="43"/>
      <c r="I107" s="44"/>
      <c r="J107" s="45">
        <v>0.33700000000000002</v>
      </c>
      <c r="K107" s="204"/>
      <c r="L107" s="204"/>
      <c r="M107" s="204"/>
      <c r="N107" s="204"/>
      <c r="O107" s="204"/>
      <c r="P107" s="209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25"/>
      <c r="C108" s="205"/>
      <c r="D108" s="205"/>
      <c r="E108" s="205"/>
      <c r="F108" s="46" t="s">
        <v>79</v>
      </c>
      <c r="G108" s="47">
        <f t="shared" ref="G108" si="171">+E104</f>
        <v>0.13</v>
      </c>
      <c r="H108" s="48"/>
      <c r="I108" s="49"/>
      <c r="J108" s="50">
        <v>0.39800000000000002</v>
      </c>
      <c r="K108" s="205"/>
      <c r="L108" s="205"/>
      <c r="M108" s="205"/>
      <c r="N108" s="205"/>
      <c r="O108" s="205"/>
      <c r="P108" s="210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23">
        <f t="shared" ref="B109" si="172">+B104+1</f>
        <v>19</v>
      </c>
      <c r="C109" s="226">
        <f>+C104+0.6</f>
        <v>13.4</v>
      </c>
      <c r="D109" s="203">
        <v>0</v>
      </c>
      <c r="E109" s="203">
        <v>0.02</v>
      </c>
      <c r="F109" s="36" t="s">
        <v>75</v>
      </c>
      <c r="G109" s="37">
        <v>0</v>
      </c>
      <c r="H109" s="38"/>
      <c r="I109" s="39"/>
      <c r="J109" s="40"/>
      <c r="K109" s="203">
        <f t="shared" ref="K109" si="173">+IF(E109&lt;=0.12,(J111),(IF(E109&lt;0.16,((J110+2*J111+J112)/4),IF(E109&gt;=0.16,((J109+3*J110+2*J111+3*J112+J113)/10)))))</f>
        <v>0.113</v>
      </c>
      <c r="L109" s="203">
        <f t="shared" ref="L109" si="174">ROUND(+(D104+D109)/2*(C109-C104),3)</f>
        <v>3.5999999999999997E-2</v>
      </c>
      <c r="M109" s="203">
        <f t="shared" ref="M109" si="175">ROUND(+K109*L109,4)</f>
        <v>4.1000000000000003E-3</v>
      </c>
      <c r="N109" s="206">
        <f t="shared" ref="N109" si="176">ROUND(+M109/$M$133*100,2)</f>
        <v>0.11</v>
      </c>
      <c r="O109" s="207"/>
      <c r="P109" s="208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24"/>
      <c r="C110" s="204"/>
      <c r="D110" s="204"/>
      <c r="E110" s="204"/>
      <c r="F110" s="41" t="s">
        <v>76</v>
      </c>
      <c r="G110" s="42" t="str">
        <f t="shared" ref="G110" si="177">IF(E109&lt;0.125,"NA",IF(0.125&lt;=E109,(0.2*E109)))</f>
        <v>NA</v>
      </c>
      <c r="H110" s="43"/>
      <c r="I110" s="44"/>
      <c r="J110" s="45"/>
      <c r="K110" s="204"/>
      <c r="L110" s="204"/>
      <c r="M110" s="204"/>
      <c r="N110" s="204"/>
      <c r="O110" s="204"/>
      <c r="P110" s="209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24"/>
      <c r="C111" s="204"/>
      <c r="D111" s="204"/>
      <c r="E111" s="204"/>
      <c r="F111" s="41" t="s">
        <v>77</v>
      </c>
      <c r="G111" s="42">
        <f t="shared" ref="G111" si="178">+E109*0.4</f>
        <v>8.0000000000000002E-3</v>
      </c>
      <c r="H111" s="43"/>
      <c r="I111" s="44"/>
      <c r="J111" s="45">
        <v>0.113</v>
      </c>
      <c r="K111" s="204"/>
      <c r="L111" s="204"/>
      <c r="M111" s="204"/>
      <c r="N111" s="204"/>
      <c r="O111" s="204"/>
      <c r="P111" s="209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24"/>
      <c r="C112" s="204"/>
      <c r="D112" s="204"/>
      <c r="E112" s="204"/>
      <c r="F112" s="41" t="s">
        <v>78</v>
      </c>
      <c r="G112" s="42" t="str">
        <f t="shared" ref="G112" si="179">IF(E109&lt;0.125,"NA",IF(0.125&lt;=E109,(0.8*E109)))</f>
        <v>NA</v>
      </c>
      <c r="H112" s="43"/>
      <c r="I112" s="44"/>
      <c r="J112" s="45"/>
      <c r="K112" s="204"/>
      <c r="L112" s="204"/>
      <c r="M112" s="204"/>
      <c r="N112" s="204"/>
      <c r="O112" s="204"/>
      <c r="P112" s="209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25"/>
      <c r="C113" s="205"/>
      <c r="D113" s="205"/>
      <c r="E113" s="205"/>
      <c r="F113" s="46" t="s">
        <v>79</v>
      </c>
      <c r="G113" s="47">
        <f t="shared" ref="G113" si="180">+E109</f>
        <v>0.02</v>
      </c>
      <c r="H113" s="48"/>
      <c r="I113" s="49"/>
      <c r="J113" s="50"/>
      <c r="K113" s="205"/>
      <c r="L113" s="205"/>
      <c r="M113" s="205"/>
      <c r="N113" s="205"/>
      <c r="O113" s="205"/>
      <c r="P113" s="210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" customFormat="1" ht="13.5" customHeight="1" x14ac:dyDescent="0.2">
      <c r="B114" s="211" t="s">
        <v>28</v>
      </c>
      <c r="C114" s="214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6"/>
    </row>
    <row r="115" spans="1:26" s="3" customFormat="1" ht="14.1" customHeight="1" x14ac:dyDescent="0.2">
      <c r="B115" s="212"/>
      <c r="C115" s="217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9"/>
    </row>
    <row r="116" spans="1:26" s="3" customFormat="1" ht="14.1" customHeight="1" x14ac:dyDescent="0.2">
      <c r="B116" s="212"/>
      <c r="C116" s="217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9"/>
    </row>
    <row r="117" spans="1:26" s="3" customFormat="1" ht="14.1" customHeight="1" x14ac:dyDescent="0.2">
      <c r="B117" s="212"/>
      <c r="C117" s="217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9"/>
    </row>
    <row r="118" spans="1:26" s="3" customFormat="1" ht="14.1" customHeight="1" x14ac:dyDescent="0.2">
      <c r="B118" s="212"/>
      <c r="C118" s="217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9"/>
    </row>
    <row r="119" spans="1:26" s="3" customFormat="1" ht="14.1" customHeight="1" thickBot="1" x14ac:dyDescent="0.25">
      <c r="B119" s="213"/>
      <c r="C119" s="220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2"/>
    </row>
    <row r="120" spans="1:26" s="3" customFormat="1" ht="28.5" customHeight="1" thickBot="1" x14ac:dyDescent="0.25">
      <c r="A120" s="51"/>
      <c r="B120" s="52" t="s">
        <v>80</v>
      </c>
      <c r="C120" s="190" t="s">
        <v>81</v>
      </c>
      <c r="D120" s="190"/>
      <c r="E120" s="190"/>
      <c r="F120" s="190"/>
      <c r="G120" s="190"/>
      <c r="H120" s="191"/>
      <c r="I120" s="192"/>
      <c r="J120" s="52" t="s">
        <v>82</v>
      </c>
      <c r="K120" s="190" t="s">
        <v>83</v>
      </c>
      <c r="L120" s="190"/>
      <c r="M120" s="190"/>
      <c r="N120" s="190"/>
      <c r="O120" s="190"/>
      <c r="P120" s="191"/>
    </row>
    <row r="121" spans="1:26" s="3" customFormat="1" ht="28.5" customHeight="1" thickBot="1" x14ac:dyDescent="0.25">
      <c r="B121" s="53" t="s">
        <v>84</v>
      </c>
      <c r="C121" s="194" t="s">
        <v>85</v>
      </c>
      <c r="D121" s="194"/>
      <c r="E121" s="194"/>
      <c r="F121" s="194"/>
      <c r="G121" s="194"/>
      <c r="H121" s="195"/>
      <c r="I121" s="193"/>
      <c r="J121" s="53" t="s">
        <v>86</v>
      </c>
      <c r="K121" s="194" t="s">
        <v>87</v>
      </c>
      <c r="L121" s="194"/>
      <c r="M121" s="194"/>
      <c r="N121" s="194"/>
      <c r="O121" s="194"/>
      <c r="P121" s="195"/>
    </row>
    <row r="122" spans="1:26" s="94" customFormat="1" ht="13.5" customHeight="1" x14ac:dyDescent="0.25">
      <c r="A122" s="54"/>
      <c r="B122" s="196">
        <f>+B39</f>
        <v>5</v>
      </c>
      <c r="C122" s="199">
        <f>+C34</f>
        <v>5.8</v>
      </c>
      <c r="D122" s="201">
        <f>+D34</f>
        <v>0.57999999999999996</v>
      </c>
      <c r="E122" s="201">
        <f>+E39</f>
        <v>0.97299999999999998</v>
      </c>
      <c r="F122" s="55" t="s">
        <v>75</v>
      </c>
      <c r="G122" s="55">
        <v>0.01</v>
      </c>
      <c r="H122" s="56"/>
      <c r="I122" s="57"/>
      <c r="J122" s="58">
        <v>0.8</v>
      </c>
      <c r="K122" s="202">
        <f>+AVERAGE(J122:J132)</f>
        <v>1.1883636363636363</v>
      </c>
      <c r="L122" s="181">
        <f>ROUND(+(D122+D127)/2*(C127-C122),3)</f>
        <v>0.34499999999999997</v>
      </c>
      <c r="M122" s="184">
        <f>ROUND(+K122*L122,4)</f>
        <v>0.41</v>
      </c>
      <c r="N122" s="181">
        <f>ROUND(+M122/$M$133*100,2)</f>
        <v>10.9</v>
      </c>
      <c r="O122" s="181"/>
      <c r="P122" s="185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4" customFormat="1" ht="13.5" customHeight="1" x14ac:dyDescent="0.25">
      <c r="A123" s="54"/>
      <c r="B123" s="197"/>
      <c r="C123" s="182"/>
      <c r="D123" s="182"/>
      <c r="E123" s="182"/>
      <c r="F123" s="60" t="s">
        <v>88</v>
      </c>
      <c r="G123" s="61">
        <f>+E122*0.1</f>
        <v>9.7299999999999998E-2</v>
      </c>
      <c r="H123" s="62"/>
      <c r="I123" s="63"/>
      <c r="J123" s="64">
        <v>1.0840000000000001</v>
      </c>
      <c r="K123" s="182"/>
      <c r="L123" s="182"/>
      <c r="M123" s="182"/>
      <c r="N123" s="182"/>
      <c r="O123" s="182"/>
      <c r="P123" s="186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4" customFormat="1" ht="13.5" customHeight="1" x14ac:dyDescent="0.25">
      <c r="A124" s="54"/>
      <c r="B124" s="197"/>
      <c r="C124" s="182"/>
      <c r="D124" s="182"/>
      <c r="E124" s="182"/>
      <c r="F124" s="60" t="s">
        <v>89</v>
      </c>
      <c r="G124" s="61">
        <f>+E122*0.2</f>
        <v>0.1946</v>
      </c>
      <c r="H124" s="62"/>
      <c r="I124" s="63"/>
      <c r="J124" s="64">
        <v>1.107</v>
      </c>
      <c r="K124" s="182"/>
      <c r="L124" s="182"/>
      <c r="M124" s="182"/>
      <c r="N124" s="182"/>
      <c r="O124" s="182"/>
      <c r="P124" s="186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4" customFormat="1" ht="13.5" customHeight="1" x14ac:dyDescent="0.25">
      <c r="A125" s="54"/>
      <c r="B125" s="197"/>
      <c r="C125" s="182"/>
      <c r="D125" s="182"/>
      <c r="E125" s="182"/>
      <c r="F125" s="60" t="s">
        <v>90</v>
      </c>
      <c r="G125" s="61">
        <f>+E122*0.3</f>
        <v>0.29189999999999999</v>
      </c>
      <c r="H125" s="62"/>
      <c r="I125" s="63"/>
      <c r="J125" s="64">
        <v>1.383</v>
      </c>
      <c r="K125" s="182"/>
      <c r="L125" s="182"/>
      <c r="M125" s="182"/>
      <c r="N125" s="182"/>
      <c r="O125" s="182"/>
      <c r="P125" s="186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4" customFormat="1" ht="13.5" customHeight="1" x14ac:dyDescent="0.25">
      <c r="A126" s="54"/>
      <c r="B126" s="197"/>
      <c r="C126" s="200"/>
      <c r="D126" s="200"/>
      <c r="E126" s="182"/>
      <c r="F126" s="60" t="s">
        <v>91</v>
      </c>
      <c r="G126" s="61">
        <f>+E122*0.4</f>
        <v>0.38919999999999999</v>
      </c>
      <c r="H126" s="62"/>
      <c r="I126" s="63"/>
      <c r="J126" s="64">
        <v>1.3839999999999999</v>
      </c>
      <c r="K126" s="182"/>
      <c r="L126" s="182"/>
      <c r="M126" s="182"/>
      <c r="N126" s="182"/>
      <c r="O126" s="182"/>
      <c r="P126" s="186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4" customFormat="1" ht="13.5" customHeight="1" x14ac:dyDescent="0.25">
      <c r="A127" s="54"/>
      <c r="B127" s="197"/>
      <c r="C127" s="188">
        <f>+C39</f>
        <v>6.3</v>
      </c>
      <c r="D127" s="189">
        <f>+D39</f>
        <v>0.80100000000000005</v>
      </c>
      <c r="E127" s="182"/>
      <c r="F127" s="60" t="s">
        <v>29</v>
      </c>
      <c r="G127" s="61">
        <f>+E122*0.5</f>
        <v>0.48649999999999999</v>
      </c>
      <c r="H127" s="62"/>
      <c r="I127" s="63"/>
      <c r="J127" s="64">
        <v>1.1299999999999999</v>
      </c>
      <c r="K127" s="182"/>
      <c r="L127" s="182"/>
      <c r="M127" s="182"/>
      <c r="N127" s="182"/>
      <c r="O127" s="182"/>
      <c r="P127" s="186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4" customFormat="1" ht="13.5" customHeight="1" x14ac:dyDescent="0.25">
      <c r="A128" s="54"/>
      <c r="B128" s="197"/>
      <c r="C128" s="182"/>
      <c r="D128" s="182"/>
      <c r="E128" s="182"/>
      <c r="F128" s="60" t="s">
        <v>92</v>
      </c>
      <c r="G128" s="61">
        <f>+E122*0.6</f>
        <v>0.58379999999999999</v>
      </c>
      <c r="H128" s="62"/>
      <c r="I128" s="63"/>
      <c r="J128" s="64">
        <v>1.1519999999999999</v>
      </c>
      <c r="K128" s="182"/>
      <c r="L128" s="182"/>
      <c r="M128" s="182"/>
      <c r="N128" s="182"/>
      <c r="O128" s="182"/>
      <c r="P128" s="186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4" customFormat="1" ht="13.5" customHeight="1" x14ac:dyDescent="0.25">
      <c r="A129" s="54"/>
      <c r="B129" s="197"/>
      <c r="C129" s="182"/>
      <c r="D129" s="182"/>
      <c r="E129" s="182"/>
      <c r="F129" s="60" t="s">
        <v>93</v>
      </c>
      <c r="G129" s="61">
        <f>+E122*0.7</f>
        <v>0.68109999999999993</v>
      </c>
      <c r="H129" s="62"/>
      <c r="I129" s="63"/>
      <c r="J129" s="64">
        <v>1.1779999999999999</v>
      </c>
      <c r="K129" s="182"/>
      <c r="L129" s="182"/>
      <c r="M129" s="182"/>
      <c r="N129" s="182"/>
      <c r="O129" s="182"/>
      <c r="P129" s="186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4" customFormat="1" ht="13.5" customHeight="1" x14ac:dyDescent="0.25">
      <c r="A130" s="54"/>
      <c r="B130" s="197"/>
      <c r="C130" s="182"/>
      <c r="D130" s="182"/>
      <c r="E130" s="182"/>
      <c r="F130" s="60" t="s">
        <v>94</v>
      </c>
      <c r="G130" s="61">
        <f>+E122*0.8</f>
        <v>0.77839999999999998</v>
      </c>
      <c r="H130" s="62"/>
      <c r="I130" s="63"/>
      <c r="J130" s="64">
        <v>1.331</v>
      </c>
      <c r="K130" s="182"/>
      <c r="L130" s="182"/>
      <c r="M130" s="182"/>
      <c r="N130" s="182"/>
      <c r="O130" s="182"/>
      <c r="P130" s="186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4" customFormat="1" ht="13.5" customHeight="1" x14ac:dyDescent="0.25">
      <c r="A131" s="54"/>
      <c r="B131" s="197"/>
      <c r="C131" s="182"/>
      <c r="D131" s="182"/>
      <c r="E131" s="182"/>
      <c r="F131" s="60" t="s">
        <v>95</v>
      </c>
      <c r="G131" s="61">
        <f>+E122*0.9</f>
        <v>0.87570000000000003</v>
      </c>
      <c r="H131" s="62"/>
      <c r="I131" s="63"/>
      <c r="J131" s="64">
        <v>1.254</v>
      </c>
      <c r="K131" s="182"/>
      <c r="L131" s="182"/>
      <c r="M131" s="182"/>
      <c r="N131" s="182"/>
      <c r="O131" s="182"/>
      <c r="P131" s="186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4" customFormat="1" ht="15.75" thickBot="1" x14ac:dyDescent="0.3">
      <c r="A132" s="54"/>
      <c r="B132" s="198"/>
      <c r="C132" s="183"/>
      <c r="D132" s="183"/>
      <c r="E132" s="183"/>
      <c r="F132" s="65" t="s">
        <v>30</v>
      </c>
      <c r="G132" s="65">
        <f>+E122</f>
        <v>0.97299999999999998</v>
      </c>
      <c r="H132" s="66"/>
      <c r="I132" s="67"/>
      <c r="J132" s="68">
        <v>1.2689999999999999</v>
      </c>
      <c r="K132" s="183"/>
      <c r="L132" s="183"/>
      <c r="M132" s="183"/>
      <c r="N132" s="183"/>
      <c r="O132" s="183"/>
      <c r="P132" s="187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3" customFormat="1" ht="12.75" x14ac:dyDescent="0.2">
      <c r="A133" s="8"/>
      <c r="B133" s="169" t="s">
        <v>111</v>
      </c>
      <c r="C133" s="169"/>
      <c r="D133" s="169"/>
      <c r="E133" s="169"/>
      <c r="F133" s="169"/>
      <c r="G133" s="169"/>
      <c r="H133" s="169"/>
      <c r="I133" s="169"/>
      <c r="J133" s="169"/>
      <c r="K133" s="13">
        <f>ROUND(+M133/L133,3)</f>
        <v>0.84299999999999997</v>
      </c>
      <c r="L133" s="12">
        <f>SUM(L19:L132)</f>
        <v>4.4649999999999999</v>
      </c>
      <c r="M133" s="11">
        <f>SUM(M19:M132)</f>
        <v>3.7624000000000009</v>
      </c>
      <c r="N133" s="9">
        <f>ROUND(SUM(N19:N132),0)</f>
        <v>100</v>
      </c>
      <c r="O133" s="171" t="s">
        <v>31</v>
      </c>
      <c r="P133" s="173"/>
    </row>
    <row r="134" spans="1:26" s="3" customFormat="1" ht="15" customHeight="1" thickBot="1" x14ac:dyDescent="0.25">
      <c r="A134" s="8"/>
      <c r="B134" s="170"/>
      <c r="C134" s="170"/>
      <c r="D134" s="170"/>
      <c r="E134" s="170"/>
      <c r="F134" s="170"/>
      <c r="G134" s="170"/>
      <c r="H134" s="170"/>
      <c r="I134" s="170"/>
      <c r="J134" s="170"/>
      <c r="K134" s="10" t="s">
        <v>32</v>
      </c>
      <c r="L134" s="10" t="s">
        <v>48</v>
      </c>
      <c r="M134" s="10" t="s">
        <v>101</v>
      </c>
      <c r="N134" s="10" t="s">
        <v>33</v>
      </c>
      <c r="O134" s="172"/>
      <c r="P134" s="174"/>
    </row>
    <row r="135" spans="1:26" ht="15" customHeight="1" thickBot="1" x14ac:dyDescent="0.3">
      <c r="A135" s="96"/>
      <c r="B135" s="175" t="s">
        <v>96</v>
      </c>
      <c r="C135" s="176"/>
      <c r="D135" s="176"/>
      <c r="E135" s="176"/>
      <c r="F135" s="177"/>
      <c r="G135" s="175" t="s">
        <v>97</v>
      </c>
      <c r="H135" s="176"/>
      <c r="I135" s="176"/>
      <c r="J135" s="176"/>
      <c r="K135" s="177"/>
      <c r="L135" s="178" t="s">
        <v>49</v>
      </c>
      <c r="M135" s="179"/>
      <c r="N135" s="179"/>
      <c r="O135" s="179"/>
      <c r="P135" s="180"/>
    </row>
    <row r="136" spans="1:26" ht="15" customHeight="1" x14ac:dyDescent="0.25">
      <c r="A136" s="96"/>
      <c r="B136" s="139"/>
      <c r="C136" s="140"/>
      <c r="D136" s="140"/>
      <c r="E136" s="140"/>
      <c r="F136" s="141"/>
      <c r="G136" s="139"/>
      <c r="H136" s="140"/>
      <c r="I136" s="140"/>
      <c r="J136" s="140"/>
      <c r="K136" s="141"/>
      <c r="L136" s="148" t="s">
        <v>98</v>
      </c>
      <c r="M136" s="149"/>
      <c r="N136" s="149"/>
      <c r="O136" s="150">
        <f>+AVERAGE(E18:E113)</f>
        <v>0.47747368421052638</v>
      </c>
      <c r="P136" s="151"/>
    </row>
    <row r="137" spans="1:26" ht="15" customHeight="1" thickBot="1" x14ac:dyDescent="0.3">
      <c r="A137" s="96"/>
      <c r="B137" s="142"/>
      <c r="C137" s="143"/>
      <c r="D137" s="143"/>
      <c r="E137" s="143"/>
      <c r="F137" s="144"/>
      <c r="G137" s="142"/>
      <c r="H137" s="143"/>
      <c r="I137" s="143"/>
      <c r="J137" s="143"/>
      <c r="K137" s="144"/>
      <c r="L137" s="152" t="s">
        <v>99</v>
      </c>
      <c r="M137" s="153"/>
      <c r="N137" s="153"/>
      <c r="O137" s="154">
        <f>MAX(E18:E113)</f>
        <v>0.97299999999999998</v>
      </c>
      <c r="P137" s="155"/>
    </row>
    <row r="138" spans="1:26" ht="18.600000000000001" customHeight="1" x14ac:dyDescent="0.25">
      <c r="A138" s="97"/>
      <c r="B138" s="142"/>
      <c r="C138" s="143"/>
      <c r="D138" s="143"/>
      <c r="E138" s="143"/>
      <c r="F138" s="144"/>
      <c r="G138" s="142"/>
      <c r="H138" s="143"/>
      <c r="I138" s="143"/>
      <c r="J138" s="143"/>
      <c r="K138" s="144"/>
      <c r="L138" s="156" t="s">
        <v>120</v>
      </c>
      <c r="M138" s="157"/>
      <c r="N138" s="157"/>
      <c r="O138" s="157"/>
      <c r="P138" s="158"/>
    </row>
    <row r="139" spans="1:26" ht="42" customHeight="1" x14ac:dyDescent="0.25">
      <c r="A139" s="98"/>
      <c r="B139" s="142"/>
      <c r="C139" s="143"/>
      <c r="D139" s="143"/>
      <c r="E139" s="143"/>
      <c r="F139" s="144"/>
      <c r="G139" s="142"/>
      <c r="H139" s="143"/>
      <c r="I139" s="143"/>
      <c r="J139" s="143"/>
      <c r="K139" s="144"/>
      <c r="L139" s="159"/>
      <c r="M139" s="160"/>
      <c r="N139" s="160"/>
      <c r="O139" s="160"/>
      <c r="P139" s="161"/>
    </row>
    <row r="140" spans="1:26" ht="15" customHeight="1" thickBot="1" x14ac:dyDescent="0.3">
      <c r="A140" s="96"/>
      <c r="B140" s="142"/>
      <c r="C140" s="143"/>
      <c r="D140" s="143"/>
      <c r="E140" s="143"/>
      <c r="F140" s="144"/>
      <c r="G140" s="142"/>
      <c r="H140" s="143"/>
      <c r="I140" s="143"/>
      <c r="J140" s="143"/>
      <c r="K140" s="144"/>
      <c r="L140" s="162"/>
      <c r="M140" s="163"/>
      <c r="N140" s="163"/>
      <c r="O140" s="163"/>
      <c r="P140" s="164"/>
    </row>
    <row r="141" spans="1:26" ht="22.5" customHeight="1" thickBot="1" x14ac:dyDescent="0.3">
      <c r="A141" s="96"/>
      <c r="B141" s="142"/>
      <c r="C141" s="143"/>
      <c r="D141" s="143"/>
      <c r="E141" s="143"/>
      <c r="F141" s="144"/>
      <c r="G141" s="142"/>
      <c r="H141" s="143"/>
      <c r="I141" s="143"/>
      <c r="J141" s="143"/>
      <c r="K141" s="144"/>
      <c r="L141" s="165" t="s">
        <v>34</v>
      </c>
      <c r="M141" s="166"/>
      <c r="N141" s="166"/>
      <c r="O141" s="166"/>
      <c r="P141" s="90">
        <v>7.02</v>
      </c>
    </row>
    <row r="142" spans="1:26" ht="32.25" customHeight="1" thickBot="1" x14ac:dyDescent="0.3">
      <c r="A142" s="96"/>
      <c r="B142" s="145"/>
      <c r="C142" s="146"/>
      <c r="D142" s="146"/>
      <c r="E142" s="146"/>
      <c r="F142" s="147"/>
      <c r="G142" s="145"/>
      <c r="H142" s="146"/>
      <c r="I142" s="146"/>
      <c r="J142" s="146"/>
      <c r="K142" s="147"/>
      <c r="L142" s="167" t="s">
        <v>104</v>
      </c>
      <c r="M142" s="168"/>
      <c r="N142" s="168"/>
      <c r="O142" s="168"/>
      <c r="P142" s="90">
        <v>1.7050000000000001</v>
      </c>
    </row>
    <row r="143" spans="1:26" ht="23.45" customHeight="1" thickBot="1" x14ac:dyDescent="0.3">
      <c r="A143" s="5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</row>
    <row r="144" spans="1:26" ht="15.75" thickBot="1" x14ac:dyDescent="0.3">
      <c r="A144" s="128" t="s">
        <v>35</v>
      </c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4"/>
    </row>
    <row r="145" spans="1:16" ht="159" customHeight="1" thickBot="1" x14ac:dyDescent="0.3">
      <c r="A145" s="4"/>
      <c r="B145" s="345"/>
      <c r="C145" s="346"/>
      <c r="D145" s="346"/>
      <c r="E145" s="346"/>
      <c r="F145" s="347"/>
      <c r="G145" s="345"/>
      <c r="H145" s="346"/>
      <c r="I145" s="346"/>
      <c r="J145" s="346"/>
      <c r="K145" s="347"/>
      <c r="L145" s="345"/>
      <c r="M145" s="346"/>
      <c r="N145" s="346"/>
      <c r="O145" s="346"/>
      <c r="P145" s="347"/>
    </row>
    <row r="146" spans="1:16" ht="21.75" customHeight="1" thickBot="1" x14ac:dyDescent="0.3">
      <c r="A146" s="4"/>
      <c r="B146" s="348" t="s">
        <v>121</v>
      </c>
      <c r="C146" s="349"/>
      <c r="D146" s="349"/>
      <c r="E146" s="349"/>
      <c r="F146" s="350"/>
      <c r="G146" s="348" t="s">
        <v>122</v>
      </c>
      <c r="H146" s="349"/>
      <c r="I146" s="349"/>
      <c r="J146" s="349"/>
      <c r="K146" s="349"/>
      <c r="L146" s="349"/>
      <c r="M146" s="349"/>
      <c r="N146" s="349"/>
      <c r="O146" s="349"/>
      <c r="P146" s="350"/>
    </row>
    <row r="147" spans="1:16" s="7" customFormat="1" ht="16.899999999999999" customHeight="1" thickBot="1" x14ac:dyDescent="0.3">
      <c r="A147" s="6"/>
      <c r="B147" s="335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6"/>
    </row>
    <row r="148" spans="1:16" s="3" customFormat="1" ht="15.75" customHeight="1" thickBot="1" x14ac:dyDescent="0.25">
      <c r="A148" s="337" t="s">
        <v>36</v>
      </c>
      <c r="B148" s="338"/>
      <c r="C148" s="339"/>
      <c r="D148" s="340"/>
      <c r="E148" s="338"/>
      <c r="F148" s="338"/>
      <c r="G148" s="338"/>
      <c r="H148" s="338"/>
      <c r="I148" s="339"/>
      <c r="J148" s="340" t="s">
        <v>37</v>
      </c>
      <c r="K148" s="339"/>
      <c r="L148" s="340"/>
      <c r="M148" s="338"/>
      <c r="N148" s="338"/>
      <c r="O148" s="338"/>
      <c r="P148" s="341"/>
    </row>
  </sheetData>
  <mergeCells count="29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9:M113"/>
    <mergeCell ref="N109:N113"/>
    <mergeCell ref="O109:O113"/>
    <mergeCell ref="P109:P113"/>
    <mergeCell ref="B114:B119"/>
    <mergeCell ref="C114:P119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C120:H120"/>
    <mergeCell ref="I120:I121"/>
    <mergeCell ref="K120:P120"/>
    <mergeCell ref="C121:H121"/>
    <mergeCell ref="K121:P121"/>
    <mergeCell ref="B122:B132"/>
    <mergeCell ref="C122:C126"/>
    <mergeCell ref="D122:D126"/>
    <mergeCell ref="E122:E132"/>
    <mergeCell ref="K122:K132"/>
    <mergeCell ref="B133:J134"/>
    <mergeCell ref="O133:O134"/>
    <mergeCell ref="P133:P134"/>
    <mergeCell ref="B135:F135"/>
    <mergeCell ref="G135:K135"/>
    <mergeCell ref="L135:P135"/>
    <mergeCell ref="L122:L132"/>
    <mergeCell ref="M122:M132"/>
    <mergeCell ref="N122:N132"/>
    <mergeCell ref="O122:O132"/>
    <mergeCell ref="P122:P132"/>
    <mergeCell ref="C127:C132"/>
    <mergeCell ref="D127:D132"/>
    <mergeCell ref="B136:F142"/>
    <mergeCell ref="G136:K142"/>
    <mergeCell ref="L136:N136"/>
    <mergeCell ref="O136:P136"/>
    <mergeCell ref="L137:N137"/>
    <mergeCell ref="O137:P137"/>
    <mergeCell ref="L138:P140"/>
    <mergeCell ref="L141:O141"/>
    <mergeCell ref="L142:O142"/>
    <mergeCell ref="B147:P147"/>
    <mergeCell ref="A148:C148"/>
    <mergeCell ref="D148:I148"/>
    <mergeCell ref="J148:K148"/>
    <mergeCell ref="L148:P148"/>
    <mergeCell ref="B143:P143"/>
    <mergeCell ref="A144:P144"/>
    <mergeCell ref="B145:F145"/>
    <mergeCell ref="G145:K145"/>
    <mergeCell ref="L145:P145"/>
    <mergeCell ref="B146:F146"/>
    <mergeCell ref="G146:P146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2019-05-17T15:32:02Z</dcterms:modified>
</cp:coreProperties>
</file>