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\INFORME AFOROS\INFORMACIÓN PAGINA WEB1\"/>
    </mc:Choice>
  </mc:AlternateContent>
  <bookViews>
    <workbookView xWindow="0" yWindow="0" windowWidth="11970" windowHeight="4710" activeTab="1"/>
  </bookViews>
  <sheets>
    <sheet name="Planta y sección típica" sheetId="1" r:id="rId1"/>
    <sheet name="Aforo 1" sheetId="118" r:id="rId2"/>
    <sheet name="Aforo 2" sheetId="119" r:id="rId3"/>
    <sheet name="Aforo 3" sheetId="120" r:id="rId4"/>
    <sheet name="Aforo 4" sheetId="121" r:id="rId5"/>
  </sheets>
  <definedNames>
    <definedName name="_xlnm.Print_Area" localSheetId="2">'Aforo 2'!$B$1:$P$118</definedName>
    <definedName name="_xlnm.Print_Area" localSheetId="3">'Aforo 3'!$B$1:$P$118</definedName>
    <definedName name="_xlnm.Print_Area" localSheetId="4">'Aforo 4'!$B$1:$P$153</definedName>
    <definedName name="_xlnm.Print_Titles" localSheetId="1">'Aforo 1'!$16:$17</definedName>
    <definedName name="_xlnm.Print_Titles" localSheetId="2">'Aforo 2'!$16:$17</definedName>
    <definedName name="_xlnm.Print_Titles" localSheetId="3">'Aforo 3'!$16:$17</definedName>
    <definedName name="_xlnm.Print_Titles" localSheetId="4">'Aforo 4'!$16:$17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42" i="121" l="1"/>
  <c r="O141" i="121"/>
  <c r="G136" i="121"/>
  <c r="G132" i="121"/>
  <c r="D132" i="121"/>
  <c r="G130" i="121"/>
  <c r="K127" i="121"/>
  <c r="E127" i="121"/>
  <c r="G135" i="121" s="1"/>
  <c r="D127" i="121"/>
  <c r="G118" i="121"/>
  <c r="G117" i="121"/>
  <c r="G116" i="121"/>
  <c r="G115" i="121"/>
  <c r="K114" i="121"/>
  <c r="G113" i="121"/>
  <c r="G112" i="121"/>
  <c r="G111" i="121"/>
  <c r="G110" i="121"/>
  <c r="K109" i="121"/>
  <c r="G108" i="121"/>
  <c r="G107" i="121"/>
  <c r="G106" i="121"/>
  <c r="G105" i="121"/>
  <c r="K104" i="121"/>
  <c r="G103" i="121"/>
  <c r="G102" i="121"/>
  <c r="G101" i="121"/>
  <c r="G100" i="121"/>
  <c r="K99" i="121"/>
  <c r="G98" i="121"/>
  <c r="G97" i="121"/>
  <c r="G96" i="121"/>
  <c r="G95" i="121"/>
  <c r="K94" i="121"/>
  <c r="G93" i="121"/>
  <c r="G92" i="121"/>
  <c r="G91" i="121"/>
  <c r="G90" i="121"/>
  <c r="K89" i="121"/>
  <c r="G88" i="121"/>
  <c r="G87" i="121"/>
  <c r="G86" i="121"/>
  <c r="G85" i="121"/>
  <c r="K84" i="121"/>
  <c r="G83" i="121"/>
  <c r="G82" i="121"/>
  <c r="G81" i="121"/>
  <c r="G80" i="121"/>
  <c r="G78" i="121"/>
  <c r="G77" i="121"/>
  <c r="G76" i="121"/>
  <c r="G75" i="121"/>
  <c r="K74" i="121"/>
  <c r="G73" i="121"/>
  <c r="G72" i="121"/>
  <c r="G71" i="121"/>
  <c r="G70" i="121"/>
  <c r="K69" i="121"/>
  <c r="G68" i="121"/>
  <c r="G67" i="121"/>
  <c r="G66" i="121"/>
  <c r="G65" i="121"/>
  <c r="K64" i="121"/>
  <c r="G63" i="121"/>
  <c r="G62" i="121"/>
  <c r="G61" i="121"/>
  <c r="G60" i="121"/>
  <c r="K59" i="121"/>
  <c r="G58" i="121"/>
  <c r="G57" i="121"/>
  <c r="G56" i="121"/>
  <c r="G55" i="121"/>
  <c r="K54" i="121"/>
  <c r="G53" i="121"/>
  <c r="G52" i="121"/>
  <c r="G51" i="121"/>
  <c r="G50" i="121"/>
  <c r="K49" i="121"/>
  <c r="G48" i="121"/>
  <c r="G47" i="121"/>
  <c r="G46" i="121"/>
  <c r="G45" i="121"/>
  <c r="K44" i="121"/>
  <c r="G43" i="121"/>
  <c r="G42" i="121"/>
  <c r="G41" i="121"/>
  <c r="G40" i="121"/>
  <c r="K39" i="121"/>
  <c r="G38" i="121"/>
  <c r="G37" i="121"/>
  <c r="G36" i="121"/>
  <c r="G35" i="121"/>
  <c r="K34" i="121"/>
  <c r="G33" i="121"/>
  <c r="G32" i="121"/>
  <c r="G31" i="121"/>
  <c r="G30" i="121"/>
  <c r="K29" i="121"/>
  <c r="G28" i="121"/>
  <c r="G27" i="121"/>
  <c r="G26" i="121"/>
  <c r="G25" i="121"/>
  <c r="K24" i="121"/>
  <c r="B24" i="121"/>
  <c r="B29" i="121" s="1"/>
  <c r="B34" i="121" s="1"/>
  <c r="B39" i="121" s="1"/>
  <c r="B44" i="121" s="1"/>
  <c r="B49" i="121" s="1"/>
  <c r="B54" i="121" s="1"/>
  <c r="B59" i="121" s="1"/>
  <c r="B64" i="121" s="1"/>
  <c r="B69" i="121" s="1"/>
  <c r="B74" i="121" s="1"/>
  <c r="B79" i="121" s="1"/>
  <c r="G23" i="121"/>
  <c r="G22" i="121"/>
  <c r="G21" i="121"/>
  <c r="G20" i="121"/>
  <c r="K19" i="121"/>
  <c r="C18" i="121"/>
  <c r="C19" i="121" s="1"/>
  <c r="B84" i="121" l="1"/>
  <c r="B89" i="121" s="1"/>
  <c r="B94" i="121" s="1"/>
  <c r="B99" i="121" s="1"/>
  <c r="B104" i="121" s="1"/>
  <c r="B109" i="121" s="1"/>
  <c r="B114" i="121" s="1"/>
  <c r="B127" i="121"/>
  <c r="C24" i="121"/>
  <c r="L19" i="121"/>
  <c r="M19" i="121"/>
  <c r="G128" i="121"/>
  <c r="G134" i="121"/>
  <c r="G131" i="121"/>
  <c r="G133" i="121"/>
  <c r="G137" i="121"/>
  <c r="G129" i="121"/>
  <c r="C29" i="121" l="1"/>
  <c r="L24" i="121"/>
  <c r="M24" i="121" s="1"/>
  <c r="C34" i="121" l="1"/>
  <c r="L29" i="121"/>
  <c r="M29" i="121" l="1"/>
  <c r="C39" i="121"/>
  <c r="L34" i="121"/>
  <c r="M34" i="121" s="1"/>
  <c r="C44" i="121" l="1"/>
  <c r="L39" i="121"/>
  <c r="M39" i="121" s="1"/>
  <c r="C49" i="121" l="1"/>
  <c r="L44" i="121"/>
  <c r="M44" i="121" l="1"/>
  <c r="C54" i="121"/>
  <c r="L49" i="121"/>
  <c r="M49" i="121" s="1"/>
  <c r="C59" i="121" l="1"/>
  <c r="L54" i="121"/>
  <c r="M54" i="121" s="1"/>
  <c r="L59" i="121" l="1"/>
  <c r="M59" i="121" s="1"/>
  <c r="C64" i="121"/>
  <c r="C69" i="121" l="1"/>
  <c r="L64" i="121"/>
  <c r="M64" i="121" s="1"/>
  <c r="C74" i="121" l="1"/>
  <c r="L69" i="121"/>
  <c r="M69" i="121" s="1"/>
  <c r="C127" i="121" l="1"/>
  <c r="C79" i="121"/>
  <c r="L74" i="121"/>
  <c r="M74" i="121" s="1"/>
  <c r="C84" i="121" l="1"/>
  <c r="C132" i="121"/>
  <c r="L127" i="121" s="1"/>
  <c r="M127" i="121" l="1"/>
  <c r="C89" i="121"/>
  <c r="L84" i="121"/>
  <c r="M84" i="121" s="1"/>
  <c r="C94" i="121" l="1"/>
  <c r="L89" i="121"/>
  <c r="M89" i="121" s="1"/>
  <c r="C99" i="121" l="1"/>
  <c r="L94" i="121"/>
  <c r="M94" i="121" s="1"/>
  <c r="C104" i="121" l="1"/>
  <c r="L99" i="121"/>
  <c r="M99" i="121" s="1"/>
  <c r="C109" i="121" l="1"/>
  <c r="L104" i="121"/>
  <c r="M104" i="121" s="1"/>
  <c r="L109" i="121" l="1"/>
  <c r="M109" i="121" s="1"/>
  <c r="C114" i="121"/>
  <c r="L114" i="121" s="1"/>
  <c r="M114" i="121" l="1"/>
  <c r="L138" i="121"/>
  <c r="M138" i="121" l="1"/>
  <c r="K138" i="121" l="1"/>
  <c r="N19" i="121"/>
  <c r="N24" i="121"/>
  <c r="N34" i="121"/>
  <c r="N29" i="121"/>
  <c r="N39" i="121"/>
  <c r="N49" i="121"/>
  <c r="N44" i="121"/>
  <c r="N54" i="121"/>
  <c r="N59" i="121"/>
  <c r="N64" i="121"/>
  <c r="N69" i="121"/>
  <c r="N74" i="121"/>
  <c r="N127" i="121"/>
  <c r="N84" i="121"/>
  <c r="N89" i="121"/>
  <c r="N94" i="121"/>
  <c r="N99" i="121"/>
  <c r="N104" i="121"/>
  <c r="N109" i="121"/>
  <c r="N114" i="121"/>
  <c r="N138" i="121" l="1"/>
  <c r="O107" i="120" l="1"/>
  <c r="O106" i="120"/>
  <c r="G101" i="120"/>
  <c r="G97" i="120"/>
  <c r="D97" i="120"/>
  <c r="G95" i="120"/>
  <c r="K92" i="120"/>
  <c r="E92" i="120"/>
  <c r="G100" i="120" s="1"/>
  <c r="D92" i="120"/>
  <c r="B92" i="120"/>
  <c r="G83" i="120"/>
  <c r="G82" i="120"/>
  <c r="G81" i="120"/>
  <c r="G80" i="120"/>
  <c r="K79" i="120"/>
  <c r="G78" i="120"/>
  <c r="G77" i="120"/>
  <c r="G76" i="120"/>
  <c r="G75" i="120"/>
  <c r="K74" i="120"/>
  <c r="G73" i="120"/>
  <c r="G72" i="120"/>
  <c r="G71" i="120"/>
  <c r="G70" i="120"/>
  <c r="K69" i="120"/>
  <c r="G68" i="120"/>
  <c r="G67" i="120"/>
  <c r="G66" i="120"/>
  <c r="G65" i="120"/>
  <c r="G63" i="120"/>
  <c r="G62" i="120"/>
  <c r="G61" i="120"/>
  <c r="G60" i="120"/>
  <c r="K59" i="120"/>
  <c r="G58" i="120"/>
  <c r="G57" i="120"/>
  <c r="G56" i="120"/>
  <c r="G55" i="120"/>
  <c r="K54" i="120"/>
  <c r="G53" i="120"/>
  <c r="G52" i="120"/>
  <c r="G51" i="120"/>
  <c r="G50" i="120"/>
  <c r="K49" i="120"/>
  <c r="G48" i="120"/>
  <c r="G47" i="120"/>
  <c r="G46" i="120"/>
  <c r="G45" i="120"/>
  <c r="K44" i="120"/>
  <c r="G43" i="120"/>
  <c r="G42" i="120"/>
  <c r="G41" i="120"/>
  <c r="G40" i="120"/>
  <c r="K39" i="120"/>
  <c r="G38" i="120"/>
  <c r="G37" i="120"/>
  <c r="G36" i="120"/>
  <c r="G35" i="120"/>
  <c r="K34" i="120"/>
  <c r="G33" i="120"/>
  <c r="G32" i="120"/>
  <c r="G31" i="120"/>
  <c r="G30" i="120"/>
  <c r="K29" i="120"/>
  <c r="G28" i="120"/>
  <c r="G27" i="120"/>
  <c r="G26" i="120"/>
  <c r="G25" i="120"/>
  <c r="K24" i="120"/>
  <c r="G23" i="120"/>
  <c r="G22" i="120"/>
  <c r="G21" i="120"/>
  <c r="G20" i="120"/>
  <c r="K19" i="120"/>
  <c r="C18" i="120"/>
  <c r="C19" i="120" s="1"/>
  <c r="L19" i="120" l="1"/>
  <c r="C24" i="120"/>
  <c r="G96" i="120"/>
  <c r="G98" i="120"/>
  <c r="G102" i="120"/>
  <c r="G93" i="120"/>
  <c r="G99" i="120"/>
  <c r="G94" i="120"/>
  <c r="M19" i="120" l="1"/>
  <c r="C29" i="120"/>
  <c r="L24" i="120"/>
  <c r="M24" i="120" s="1"/>
  <c r="C34" i="120" l="1"/>
  <c r="L29" i="120"/>
  <c r="M29" i="120" s="1"/>
  <c r="C39" i="120" l="1"/>
  <c r="L34" i="120"/>
  <c r="M34" i="120" s="1"/>
  <c r="L39" i="120" l="1"/>
  <c r="M39" i="120" s="1"/>
  <c r="C44" i="120"/>
  <c r="C49" i="120" l="1"/>
  <c r="L44" i="120"/>
  <c r="M44" i="120" s="1"/>
  <c r="L49" i="120" l="1"/>
  <c r="M49" i="120" s="1"/>
  <c r="C54" i="120"/>
  <c r="L54" i="120" l="1"/>
  <c r="M54" i="120" s="1"/>
  <c r="C59" i="120"/>
  <c r="C92" i="120" l="1"/>
  <c r="L59" i="120"/>
  <c r="M59" i="120" s="1"/>
  <c r="C64" i="120"/>
  <c r="C69" i="120" l="1"/>
  <c r="C97" i="120"/>
  <c r="L92" i="120" s="1"/>
  <c r="M92" i="120" l="1"/>
  <c r="L69" i="120"/>
  <c r="M69" i="120" s="1"/>
  <c r="C74" i="120"/>
  <c r="L74" i="120" l="1"/>
  <c r="M74" i="120" s="1"/>
  <c r="C79" i="120"/>
  <c r="L79" i="120" s="1"/>
  <c r="M79" i="120" s="1"/>
  <c r="L103" i="120"/>
  <c r="M103" i="120"/>
  <c r="N69" i="120" s="1"/>
  <c r="K103" i="120" l="1"/>
  <c r="N24" i="120"/>
  <c r="N19" i="120"/>
  <c r="N29" i="120"/>
  <c r="N34" i="120"/>
  <c r="N39" i="120"/>
  <c r="N44" i="120"/>
  <c r="N49" i="120"/>
  <c r="N54" i="120"/>
  <c r="N59" i="120"/>
  <c r="N79" i="120"/>
  <c r="N92" i="120"/>
  <c r="N74" i="120"/>
  <c r="N103" i="120" l="1"/>
  <c r="O107" i="119" l="1"/>
  <c r="O106" i="119"/>
  <c r="G101" i="119"/>
  <c r="G97" i="119"/>
  <c r="D97" i="119"/>
  <c r="G95" i="119"/>
  <c r="G94" i="119"/>
  <c r="G93" i="119"/>
  <c r="K92" i="119"/>
  <c r="E92" i="119"/>
  <c r="G100" i="119" s="1"/>
  <c r="D92" i="119"/>
  <c r="G83" i="119"/>
  <c r="G82" i="119"/>
  <c r="G81" i="119"/>
  <c r="G80" i="119"/>
  <c r="K79" i="119"/>
  <c r="G78" i="119"/>
  <c r="G77" i="119"/>
  <c r="G76" i="119"/>
  <c r="G75" i="119"/>
  <c r="K74" i="119"/>
  <c r="G73" i="119"/>
  <c r="G72" i="119"/>
  <c r="G71" i="119"/>
  <c r="G70" i="119"/>
  <c r="K69" i="119"/>
  <c r="G68" i="119"/>
  <c r="G67" i="119"/>
  <c r="G66" i="119"/>
  <c r="G65" i="119"/>
  <c r="G63" i="119"/>
  <c r="G62" i="119"/>
  <c r="G61" i="119"/>
  <c r="G60" i="119"/>
  <c r="K59" i="119"/>
  <c r="G58" i="119"/>
  <c r="G57" i="119"/>
  <c r="G56" i="119"/>
  <c r="G55" i="119"/>
  <c r="K54" i="119"/>
  <c r="G53" i="119"/>
  <c r="G52" i="119"/>
  <c r="G51" i="119"/>
  <c r="G50" i="119"/>
  <c r="K49" i="119"/>
  <c r="G48" i="119"/>
  <c r="G47" i="119"/>
  <c r="G46" i="119"/>
  <c r="G45" i="119"/>
  <c r="K44" i="119"/>
  <c r="G43" i="119"/>
  <c r="G42" i="119"/>
  <c r="G41" i="119"/>
  <c r="G40" i="119"/>
  <c r="K39" i="119"/>
  <c r="G38" i="119"/>
  <c r="G37" i="119"/>
  <c r="G36" i="119"/>
  <c r="G35" i="119"/>
  <c r="K34" i="119"/>
  <c r="G33" i="119"/>
  <c r="G32" i="119"/>
  <c r="G31" i="119"/>
  <c r="G30" i="119"/>
  <c r="K29" i="119"/>
  <c r="G28" i="119"/>
  <c r="G27" i="119"/>
  <c r="G26" i="119"/>
  <c r="G25" i="119"/>
  <c r="K24" i="119"/>
  <c r="G23" i="119"/>
  <c r="G22" i="119"/>
  <c r="G21" i="119"/>
  <c r="G20" i="119"/>
  <c r="K19" i="119"/>
  <c r="C18" i="119"/>
  <c r="C19" i="119" s="1"/>
  <c r="C24" i="119" l="1"/>
  <c r="L19" i="119"/>
  <c r="G96" i="119"/>
  <c r="G98" i="119"/>
  <c r="G102" i="119"/>
  <c r="G99" i="119"/>
  <c r="L24" i="119" l="1"/>
  <c r="M24" i="119" s="1"/>
  <c r="C29" i="119"/>
  <c r="M19" i="119"/>
  <c r="L29" i="119" l="1"/>
  <c r="C34" i="119"/>
  <c r="L34" i="119" l="1"/>
  <c r="M34" i="119" s="1"/>
  <c r="C39" i="119"/>
  <c r="M29" i="119"/>
  <c r="C44" i="119" l="1"/>
  <c r="L39" i="119"/>
  <c r="C49" i="119" l="1"/>
  <c r="L44" i="119"/>
  <c r="M44" i="119" s="1"/>
  <c r="M39" i="119"/>
  <c r="L49" i="119" l="1"/>
  <c r="C54" i="119"/>
  <c r="M49" i="119" l="1"/>
  <c r="L54" i="119"/>
  <c r="M54" i="119" s="1"/>
  <c r="C59" i="119"/>
  <c r="C92" i="119" l="1"/>
  <c r="C64" i="119"/>
  <c r="L59" i="119"/>
  <c r="M59" i="119" s="1"/>
  <c r="C97" i="119" l="1"/>
  <c r="L92" i="119" s="1"/>
  <c r="C69" i="119"/>
  <c r="L69" i="119" l="1"/>
  <c r="M69" i="119" s="1"/>
  <c r="C74" i="119"/>
  <c r="M92" i="119"/>
  <c r="L74" i="119" l="1"/>
  <c r="C79" i="119"/>
  <c r="L79" i="119" s="1"/>
  <c r="M79" i="119" s="1"/>
  <c r="M74" i="119" l="1"/>
  <c r="L103" i="119"/>
  <c r="M103" i="119" l="1"/>
  <c r="K103" i="119" l="1"/>
  <c r="N19" i="119"/>
  <c r="N24" i="119"/>
  <c r="N29" i="119"/>
  <c r="N34" i="119"/>
  <c r="N44" i="119"/>
  <c r="N39" i="119"/>
  <c r="N54" i="119"/>
  <c r="N49" i="119"/>
  <c r="N59" i="119"/>
  <c r="N92" i="119"/>
  <c r="N69" i="119"/>
  <c r="N79" i="119"/>
  <c r="N74" i="119"/>
  <c r="N103" i="119" l="1"/>
  <c r="O112" i="118" l="1"/>
  <c r="O111" i="118"/>
  <c r="G106" i="118"/>
  <c r="G102" i="118"/>
  <c r="D102" i="118"/>
  <c r="G100" i="118"/>
  <c r="K97" i="118"/>
  <c r="E97" i="118"/>
  <c r="G105" i="118" s="1"/>
  <c r="D97" i="118"/>
  <c r="B97" i="118"/>
  <c r="G88" i="118"/>
  <c r="G87" i="118"/>
  <c r="G86" i="118"/>
  <c r="G85" i="118"/>
  <c r="K84" i="118"/>
  <c r="G83" i="118"/>
  <c r="G82" i="118"/>
  <c r="G81" i="118"/>
  <c r="G80" i="118"/>
  <c r="K79" i="118"/>
  <c r="G78" i="118"/>
  <c r="G77" i="118"/>
  <c r="G76" i="118"/>
  <c r="G75" i="118"/>
  <c r="K74" i="118"/>
  <c r="G73" i="118"/>
  <c r="G72" i="118"/>
  <c r="G71" i="118"/>
  <c r="G70" i="118"/>
  <c r="K69" i="118"/>
  <c r="G68" i="118"/>
  <c r="G67" i="118"/>
  <c r="G66" i="118"/>
  <c r="G65" i="118"/>
  <c r="K64" i="118"/>
  <c r="G63" i="118"/>
  <c r="G62" i="118"/>
  <c r="G61" i="118"/>
  <c r="G60" i="118"/>
  <c r="K59" i="118"/>
  <c r="G58" i="118"/>
  <c r="G57" i="118"/>
  <c r="G56" i="118"/>
  <c r="G55" i="118"/>
  <c r="G53" i="118"/>
  <c r="G52" i="118"/>
  <c r="G51" i="118"/>
  <c r="G50" i="118"/>
  <c r="K49" i="118"/>
  <c r="G48" i="118"/>
  <c r="G47" i="118"/>
  <c r="G46" i="118"/>
  <c r="G45" i="118"/>
  <c r="K44" i="118"/>
  <c r="G43" i="118"/>
  <c r="G42" i="118"/>
  <c r="G41" i="118"/>
  <c r="G40" i="118"/>
  <c r="K39" i="118"/>
  <c r="G38" i="118"/>
  <c r="G37" i="118"/>
  <c r="G36" i="118"/>
  <c r="G35" i="118"/>
  <c r="K34" i="118"/>
  <c r="G33" i="118"/>
  <c r="G32" i="118"/>
  <c r="G31" i="118"/>
  <c r="G30" i="118"/>
  <c r="K29" i="118"/>
  <c r="G28" i="118"/>
  <c r="G27" i="118"/>
  <c r="G26" i="118"/>
  <c r="G25" i="118"/>
  <c r="K24" i="118"/>
  <c r="G23" i="118"/>
  <c r="G22" i="118"/>
  <c r="G21" i="118"/>
  <c r="G20" i="118"/>
  <c r="K19" i="118"/>
  <c r="C19" i="118"/>
  <c r="L19" i="118" s="1"/>
  <c r="C18" i="118"/>
  <c r="M19" i="118" l="1"/>
  <c r="C24" i="118"/>
  <c r="G101" i="118"/>
  <c r="G103" i="118"/>
  <c r="G107" i="118"/>
  <c r="G98" i="118"/>
  <c r="G104" i="118"/>
  <c r="G99" i="118"/>
  <c r="L24" i="118" l="1"/>
  <c r="C29" i="118"/>
  <c r="C34" i="118" l="1"/>
  <c r="L29" i="118"/>
  <c r="M29" i="118" s="1"/>
  <c r="M24" i="118"/>
  <c r="L34" i="118" l="1"/>
  <c r="C39" i="118"/>
  <c r="M34" i="118" l="1"/>
  <c r="L39" i="118"/>
  <c r="M39" i="118" s="1"/>
  <c r="C44" i="118"/>
  <c r="L44" i="118" l="1"/>
  <c r="M44" i="118" s="1"/>
  <c r="C49" i="118"/>
  <c r="C97" i="118" l="1"/>
  <c r="C54" i="118"/>
  <c r="L49" i="118"/>
  <c r="M49" i="118" s="1"/>
  <c r="C102" i="118" l="1"/>
  <c r="L97" i="118" s="1"/>
  <c r="C59" i="118"/>
  <c r="M97" i="118" l="1"/>
  <c r="L59" i="118"/>
  <c r="M59" i="118" s="1"/>
  <c r="C64" i="118"/>
  <c r="L64" i="118" l="1"/>
  <c r="M64" i="118" s="1"/>
  <c r="C69" i="118"/>
  <c r="C74" i="118" l="1"/>
  <c r="L69" i="118"/>
  <c r="M69" i="118" s="1"/>
  <c r="L74" i="118" l="1"/>
  <c r="M74" i="118" s="1"/>
  <c r="C79" i="118"/>
  <c r="L79" i="118" l="1"/>
  <c r="C84" i="118"/>
  <c r="L84" i="118" s="1"/>
  <c r="M84" i="118" s="1"/>
  <c r="M79" i="118" l="1"/>
  <c r="L108" i="118"/>
  <c r="M108" i="118" l="1"/>
  <c r="K108" i="118" l="1"/>
  <c r="N19" i="118"/>
  <c r="N24" i="118"/>
  <c r="N29" i="118"/>
  <c r="N34" i="118"/>
  <c r="N39" i="118"/>
  <c r="N44" i="118"/>
  <c r="N49" i="118"/>
  <c r="N59" i="118"/>
  <c r="N97" i="118"/>
  <c r="N64" i="118"/>
  <c r="N69" i="118"/>
  <c r="N74" i="118"/>
  <c r="N84" i="118"/>
  <c r="N79" i="118"/>
  <c r="N108" i="118" l="1"/>
</calcChain>
</file>

<file path=xl/sharedStrings.xml><?xml version="1.0" encoding="utf-8"?>
<sst xmlns="http://schemas.openxmlformats.org/spreadsheetml/2006/main" count="748" uniqueCount="123">
  <si>
    <t>Fecha</t>
  </si>
  <si>
    <t>Proyecto</t>
  </si>
  <si>
    <t>Lugar medición</t>
  </si>
  <si>
    <t>Coordenadas:</t>
  </si>
  <si>
    <t>X</t>
  </si>
  <si>
    <t>OTT / MF Pro</t>
  </si>
  <si>
    <t>Datos de inicio del aforo</t>
  </si>
  <si>
    <t>Inicio desde:</t>
  </si>
  <si>
    <t>Margen Izquierda</t>
  </si>
  <si>
    <t>Margen Derecha</t>
  </si>
  <si>
    <t>Hora de inicio</t>
  </si>
  <si>
    <t>Nivel inicial [m]</t>
  </si>
  <si>
    <t>Temperatura del agua ( °C )</t>
  </si>
  <si>
    <t>Ancho sección (w) [m]</t>
  </si>
  <si>
    <t>Hora de finalización</t>
  </si>
  <si>
    <t>Nivel final [m]</t>
  </si>
  <si>
    <t>Hora de medida</t>
  </si>
  <si>
    <t xml:space="preserve">Ancho dovela (b) [m] </t>
  </si>
  <si>
    <t>Nomenclatura</t>
  </si>
  <si>
    <t>Dovela #</t>
  </si>
  <si>
    <t>Abscisa [m]</t>
  </si>
  <si>
    <t>y [m]</t>
  </si>
  <si>
    <t>Bq</t>
  </si>
  <si>
    <t>[m/seg]</t>
  </si>
  <si>
    <t>[m/s]</t>
  </si>
  <si>
    <t>[%]</t>
  </si>
  <si>
    <t>[s]</t>
  </si>
  <si>
    <t>pulg</t>
  </si>
  <si>
    <t>Formulas</t>
  </si>
  <si>
    <t>0.5y</t>
  </si>
  <si>
    <t>Superficial</t>
  </si>
  <si>
    <t>Folio</t>
  </si>
  <si>
    <t>Vmedia</t>
  </si>
  <si>
    <t>%</t>
  </si>
  <si>
    <t>Distancia del sensor al nivel del agua (m)</t>
  </si>
  <si>
    <t>REGISTRO FOTOGRÁFICO</t>
  </si>
  <si>
    <t>Realizado por</t>
  </si>
  <si>
    <t>Revisado por</t>
  </si>
  <si>
    <t>VISTA EN PLANTA</t>
  </si>
  <si>
    <t>SECCIÓN TRANSVERSAL</t>
  </si>
  <si>
    <r>
      <t>h</t>
    </r>
    <r>
      <rPr>
        <b/>
        <vertAlign val="subscript"/>
        <sz val="11"/>
        <color theme="1"/>
        <rFont val="Calibri"/>
        <family val="2"/>
        <scheme val="minor"/>
      </rPr>
      <t xml:space="preserve">i      </t>
    </r>
    <r>
      <rPr>
        <b/>
        <sz val="11"/>
        <color theme="1"/>
        <rFont val="Calibri"/>
        <family val="2"/>
        <scheme val="minor"/>
      </rPr>
      <t xml:space="preserve">  [m]</t>
    </r>
  </si>
  <si>
    <r>
      <t>y</t>
    </r>
    <r>
      <rPr>
        <b/>
        <vertAlign val="subscript"/>
        <sz val="11"/>
        <color theme="1"/>
        <rFont val="Calibri"/>
        <family val="2"/>
        <scheme val="minor"/>
      </rPr>
      <t xml:space="preserve">i   </t>
    </r>
    <r>
      <rPr>
        <b/>
        <sz val="11"/>
        <color theme="1"/>
        <rFont val="Calibri"/>
        <family val="2"/>
        <scheme val="minor"/>
      </rPr>
      <t>[m]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</si>
  <si>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</si>
  <si>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</si>
  <si>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</si>
  <si>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ll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</si>
  <si>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</si>
  <si>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/s]</t>
    </r>
  </si>
  <si>
    <r>
      <t xml:space="preserve">At = </t>
    </r>
    <r>
      <rPr>
        <sz val="10"/>
        <color theme="1"/>
        <rFont val="Calibri"/>
        <family val="2"/>
      </rPr>
      <t>ΣAi</t>
    </r>
  </si>
  <si>
    <t xml:space="preserve">OBSERVACIONES: </t>
  </si>
  <si>
    <t xml:space="preserve">Aforo No. </t>
  </si>
  <si>
    <t>m.s.n.m.</t>
  </si>
  <si>
    <t>Equipo</t>
  </si>
  <si>
    <t>Molinete (**)</t>
  </si>
  <si>
    <t xml:space="preserve">Marca/Referencia </t>
  </si>
  <si>
    <t>Ecuación del molinete</t>
  </si>
  <si>
    <t>Hélice #</t>
  </si>
  <si>
    <t>Electromagnético</t>
  </si>
  <si>
    <t>Referencia de medida:</t>
  </si>
  <si>
    <t>Lecho del río</t>
  </si>
  <si>
    <t>Clima</t>
  </si>
  <si>
    <t>Superficie del agua</t>
  </si>
  <si>
    <t>Abscisa: Inicio Dovela # 1 (m)</t>
  </si>
  <si>
    <r>
      <rPr>
        <b/>
        <i/>
        <sz val="10"/>
        <rFont val="Calibri"/>
        <family val="2"/>
        <scheme val="minor"/>
      </rPr>
      <t>Vi</t>
    </r>
    <r>
      <rPr>
        <sz val="10"/>
        <rFont val="Calibri"/>
        <family val="2"/>
        <scheme val="minor"/>
      </rPr>
      <t>= Velocidad a cada yi</t>
    </r>
  </si>
  <si>
    <r>
      <rPr>
        <b/>
        <i/>
        <sz val="10"/>
        <rFont val="Calibri"/>
        <family val="2"/>
        <scheme val="minor"/>
      </rPr>
      <t>hi</t>
    </r>
    <r>
      <rPr>
        <sz val="10"/>
        <rFont val="Calibri"/>
        <family val="2"/>
        <scheme val="minor"/>
      </rPr>
      <t>= Profundidad correspondiente a cada abscisa</t>
    </r>
  </si>
  <si>
    <r>
      <rPr>
        <b/>
        <i/>
        <sz val="10"/>
        <rFont val="Calibri"/>
        <family val="2"/>
        <scheme val="minor"/>
      </rPr>
      <t>y</t>
    </r>
    <r>
      <rPr>
        <b/>
        <sz val="10"/>
        <rFont val="Calibri"/>
        <family val="2"/>
        <scheme val="minor"/>
      </rPr>
      <t>=</t>
    </r>
    <r>
      <rPr>
        <sz val="10"/>
        <rFont val="Calibri"/>
        <family val="2"/>
        <scheme val="minor"/>
      </rPr>
      <t xml:space="preserve"> Profundidad en la mitad dovela</t>
    </r>
  </si>
  <si>
    <r>
      <rPr>
        <b/>
        <i/>
        <sz val="10"/>
        <rFont val="Calibri"/>
        <family val="2"/>
        <scheme val="minor"/>
      </rPr>
      <t>Rev</t>
    </r>
    <r>
      <rPr>
        <sz val="10"/>
        <rFont val="Calibri"/>
        <family val="2"/>
        <scheme val="minor"/>
      </rPr>
      <t xml:space="preserve">= # vueltas en </t>
    </r>
    <r>
      <rPr>
        <b/>
        <sz val="10"/>
        <rFont val="Calibri"/>
        <family val="2"/>
        <scheme val="minor"/>
      </rPr>
      <t>tc</t>
    </r>
  </si>
  <si>
    <r>
      <rPr>
        <b/>
        <i/>
        <sz val="10"/>
        <rFont val="Calibri"/>
        <family val="2"/>
        <scheme val="minor"/>
      </rPr>
      <t>Qi</t>
    </r>
    <r>
      <rPr>
        <sz val="10"/>
        <rFont val="Calibri"/>
        <family val="2"/>
        <scheme val="minor"/>
      </rPr>
      <t>= Caudal por dovela</t>
    </r>
  </si>
  <si>
    <r>
      <rPr>
        <b/>
        <i/>
        <sz val="10"/>
        <rFont val="Calibri"/>
        <family val="2"/>
        <scheme val="minor"/>
      </rPr>
      <t>T</t>
    </r>
    <r>
      <rPr>
        <b/>
        <i/>
        <vertAlign val="subscript"/>
        <sz val="10"/>
        <rFont val="Calibri"/>
        <family val="2"/>
        <scheme val="minor"/>
      </rPr>
      <t>ll</t>
    </r>
    <r>
      <rPr>
        <sz val="10"/>
        <rFont val="Calibri"/>
        <family val="2"/>
        <scheme val="minor"/>
      </rPr>
      <t>= Tiempo de llenado-solidos suspendidos</t>
    </r>
  </si>
  <si>
    <r>
      <rPr>
        <b/>
        <i/>
        <sz val="10"/>
        <rFont val="Calibri"/>
        <family val="2"/>
        <scheme val="minor"/>
      </rPr>
      <t>Rpm</t>
    </r>
    <r>
      <rPr>
        <sz val="10"/>
        <rFont val="Calibri"/>
        <family val="2"/>
        <scheme val="minor"/>
      </rPr>
      <t>= Revoluciones por minuto</t>
    </r>
  </si>
  <si>
    <r>
      <rPr>
        <b/>
        <i/>
        <sz val="10"/>
        <rFont val="Calibri"/>
        <family val="2"/>
        <scheme val="minor"/>
      </rPr>
      <t>Ai</t>
    </r>
    <r>
      <rPr>
        <sz val="10"/>
        <rFont val="Calibri"/>
        <family val="2"/>
        <scheme val="minor"/>
      </rPr>
      <t>= Área por dovela</t>
    </r>
  </si>
  <si>
    <r>
      <rPr>
        <b/>
        <i/>
        <sz val="10"/>
        <rFont val="Calibri"/>
        <family val="2"/>
        <scheme val="minor"/>
      </rPr>
      <t>Bq</t>
    </r>
    <r>
      <rPr>
        <sz val="10"/>
        <rFont val="Calibri"/>
        <family val="2"/>
        <scheme val="minor"/>
      </rPr>
      <t xml:space="preserve"> = Boquilla muestreador solidos suspendidos</t>
    </r>
  </si>
  <si>
    <t xml:space="preserve">        = Velocidad promedio por dovela</t>
  </si>
  <si>
    <t>Rev (**)</t>
  </si>
  <si>
    <t>[Rpm] (**)</t>
  </si>
  <si>
    <t>Fondo</t>
  </si>
  <si>
    <t>0,2y (* 0.8y)</t>
  </si>
  <si>
    <t>0,4y (* 0.6y)</t>
  </si>
  <si>
    <t>0,8y (* 0.2y)</t>
  </si>
  <si>
    <t>Sup</t>
  </si>
  <si>
    <t>Nota 1</t>
  </si>
  <si>
    <r>
      <rPr>
        <b/>
        <sz val="10"/>
        <rFont val="Calibri"/>
        <family val="2"/>
        <scheme val="minor"/>
      </rPr>
      <t>Tll</t>
    </r>
    <r>
      <rPr>
        <sz val="10"/>
        <rFont val="Calibri"/>
        <family val="2"/>
        <scheme val="minor"/>
      </rPr>
      <t xml:space="preserve"> es a partir de la curva "Sampling Volume 690 CC" ingresando         en [ft/s]  </t>
    </r>
  </si>
  <si>
    <t>Nota 3</t>
  </si>
  <si>
    <t xml:space="preserve"> Tomar la velocidad superficial del formato L2 (**)   </t>
  </si>
  <si>
    <t>Nota 2</t>
  </si>
  <si>
    <t xml:space="preserve">Qi&lt;= 0.2Qt. Si no se cumple repetir las medidas </t>
  </si>
  <si>
    <t>Nota 4</t>
  </si>
  <si>
    <t>Para y&lt;0.2 m (**), y&lt;0.125 m (*) medir solo a 0.6y</t>
  </si>
  <si>
    <t>0.1y (* 0,9y)</t>
  </si>
  <si>
    <t>0.2y (* 0,8y)</t>
  </si>
  <si>
    <t>0.3y (* 0,7y)</t>
  </si>
  <si>
    <t>0.4y (* 0,6y)</t>
  </si>
  <si>
    <t>0.6y (* 0,4y)</t>
  </si>
  <si>
    <t>0.7y (* 0,3y)</t>
  </si>
  <si>
    <t>0.8y (* 0,2y)</t>
  </si>
  <si>
    <t>0.9y (* 0,1y)</t>
  </si>
  <si>
    <t>Referencia desde lecho del Río</t>
  </si>
  <si>
    <t>Referencia desde la superficie del agua</t>
  </si>
  <si>
    <t>h Media (m)</t>
  </si>
  <si>
    <t>h Máxima (m)</t>
  </si>
  <si>
    <r>
      <t xml:space="preserve">Qt = </t>
    </r>
    <r>
      <rPr>
        <sz val="10"/>
        <color theme="1"/>
        <rFont val="Calibri"/>
        <family val="2"/>
      </rPr>
      <t>ΣQi</t>
    </r>
  </si>
  <si>
    <r>
      <t xml:space="preserve">Tiempo contador </t>
    </r>
    <r>
      <rPr>
        <b/>
        <sz val="10"/>
        <color theme="1"/>
        <rFont val="Calibri"/>
        <family val="2"/>
        <scheme val="minor"/>
      </rPr>
      <t xml:space="preserve">(tc) </t>
    </r>
    <r>
      <rPr>
        <sz val="10"/>
        <color theme="1"/>
        <rFont val="Calibri"/>
        <family val="2"/>
        <scheme val="minor"/>
      </rPr>
      <t>[s]</t>
    </r>
  </si>
  <si>
    <t>Calido</t>
  </si>
  <si>
    <r>
      <t xml:space="preserve">Nivel del agua en el sensor (m) </t>
    </r>
    <r>
      <rPr>
        <vertAlign val="subscript"/>
        <sz val="9"/>
        <color theme="1"/>
        <rFont val="Calibri"/>
        <family val="2"/>
        <scheme val="minor"/>
      </rPr>
      <t>(Dato suministrado por el administrador de la red)</t>
    </r>
  </si>
  <si>
    <t xml:space="preserve">Se tomaron muestras de sedimentos en las dovelas #  _____ , _____ , ______ , ______ , _______ </t>
  </si>
  <si>
    <t>Medida de la temperatura</t>
  </si>
  <si>
    <t>Detalle del aforo</t>
  </si>
  <si>
    <t>RÍO PÁCORA - QUEBRADA SAN ANTONIO</t>
  </si>
  <si>
    <t xml:space="preserve"> N 5°32'27.04"</t>
  </si>
  <si>
    <t xml:space="preserve"> W75°27'31.87"</t>
  </si>
  <si>
    <t>Cálido</t>
  </si>
  <si>
    <t>SIN DATO</t>
  </si>
  <si>
    <t>Organizando sección de aforo</t>
  </si>
  <si>
    <t>XX</t>
  </si>
  <si>
    <t>CARLOS COCUY</t>
  </si>
  <si>
    <t>RIO PACORA - QUEBRADA SAN ANTONIO</t>
  </si>
  <si>
    <t>Aforo</t>
  </si>
  <si>
    <t>RIO PACORA - QUEBRADA SAN ANOTNIO</t>
  </si>
  <si>
    <t>Soleado</t>
  </si>
  <si>
    <t>C</t>
  </si>
  <si>
    <t>Toma de la temperatura</t>
  </si>
  <si>
    <t>Formato L1.2: Medición de caudal por el método área-velocidad: medidas desde la superficie del agua con medidor electromagnético</t>
  </si>
  <si>
    <t>Convenio 221/2016 OPERACIÓN Y MENTENIMIENTO REDES HIDROMETEROLÓGICAS, SÍSMICAS Y DE CALIDAD DEL AIRE DEL DEPARTAMENTO DE CALDAS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</si>
</sst>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"/>
    <numFmt numFmtId="166" formatCode="0.0000"/>
    <numFmt numFmtId="167" formatCode="_(&quot;$&quot;\ * #,##0.00_);_(&quot;$&quot;\ * \(#,##0.00\);_(&quot;$&quot;\ * &quot;-&quot;??_);_(@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vertAlign val="subscript"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b/>
      <i/>
      <sz val="12"/>
      <color rgb="FF000000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color rgb="FF000000"/>
      <name val="Calibri"/>
      <family val="2"/>
    </font>
    <font>
      <b/>
      <i/>
      <sz val="10"/>
      <name val="Calibri"/>
      <family val="2"/>
      <scheme val="minor"/>
    </font>
    <font>
      <sz val="11"/>
      <color rgb="FFFF0000"/>
      <name val="Calibri"/>
      <family val="2"/>
    </font>
    <font>
      <b/>
      <i/>
      <vertAlign val="subscript"/>
      <sz val="10"/>
      <name val="Calibri"/>
      <family val="2"/>
      <scheme val="minor"/>
    </font>
    <font>
      <sz val="10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i/>
      <u/>
      <sz val="11"/>
      <color rgb="FF000000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rgb="FFEEECE1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rgb="FFEEECE1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theme="0" tint="-0.14999847407452621"/>
        <bgColor rgb="FFE5B8B7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rgb="FFD8D8D8"/>
      </patternFill>
    </fill>
  </fills>
  <borders count="132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167" fontId="11" fillId="0" borderId="0" applyFont="0" applyFill="0" applyBorder="0" applyAlignment="0" applyProtection="0"/>
  </cellStyleXfs>
  <cellXfs count="334">
    <xf numFmtId="0" fontId="0" fillId="0" borderId="0" xfId="0"/>
    <xf numFmtId="0" fontId="0" fillId="0" borderId="0" xfId="0" applyAlignment="1"/>
    <xf numFmtId="0" fontId="0" fillId="0" borderId="0" xfId="0" applyFont="1"/>
    <xf numFmtId="0" fontId="3" fillId="0" borderId="0" xfId="0" applyFont="1"/>
    <xf numFmtId="0" fontId="1" fillId="0" borderId="25" xfId="0" applyFont="1" applyFill="1" applyBorder="1" applyAlignment="1"/>
    <xf numFmtId="0" fontId="0" fillId="0" borderId="0" xfId="0" applyBorder="1"/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3" fillId="0" borderId="31" xfId="0" applyFont="1" applyBorder="1"/>
    <xf numFmtId="2" fontId="3" fillId="0" borderId="0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vertical="top"/>
    </xf>
    <xf numFmtId="166" fontId="5" fillId="0" borderId="35" xfId="0" applyNumberFormat="1" applyFont="1" applyBorder="1" applyAlignment="1">
      <alignment horizontal="center" vertical="center"/>
    </xf>
    <xf numFmtId="164" fontId="5" fillId="0" borderId="35" xfId="0" applyNumberFormat="1" applyFont="1" applyBorder="1" applyAlignment="1">
      <alignment horizontal="center" vertical="center"/>
    </xf>
    <xf numFmtId="164" fontId="5" fillId="0" borderId="35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Font="1" applyBorder="1"/>
    <xf numFmtId="0" fontId="2" fillId="0" borderId="38" xfId="0" applyFont="1" applyBorder="1"/>
    <xf numFmtId="0" fontId="2" fillId="0" borderId="0" xfId="0" applyFont="1"/>
    <xf numFmtId="0" fontId="2" fillId="0" borderId="0" xfId="0" applyFont="1" applyAlignment="1"/>
    <xf numFmtId="0" fontId="17" fillId="6" borderId="77" xfId="0" applyFont="1" applyFill="1" applyBorder="1" applyAlignment="1">
      <alignment horizontal="center" vertical="center"/>
    </xf>
    <xf numFmtId="0" fontId="17" fillId="6" borderId="94" xfId="0" applyFont="1" applyFill="1" applyBorder="1" applyAlignment="1">
      <alignment vertical="center"/>
    </xf>
    <xf numFmtId="0" fontId="17" fillId="6" borderId="94" xfId="0" applyFont="1" applyFill="1" applyBorder="1" applyAlignment="1">
      <alignment horizontal="center" vertical="center"/>
    </xf>
    <xf numFmtId="0" fontId="17" fillId="6" borderId="55" xfId="0" applyFont="1" applyFill="1" applyBorder="1" applyAlignment="1">
      <alignment horizontal="center" vertical="center"/>
    </xf>
    <xf numFmtId="0" fontId="2" fillId="0" borderId="88" xfId="0" applyFont="1" applyBorder="1"/>
    <xf numFmtId="0" fontId="17" fillId="6" borderId="88" xfId="0" applyFont="1" applyFill="1" applyBorder="1" applyAlignment="1">
      <alignment vertical="center"/>
    </xf>
    <xf numFmtId="0" fontId="17" fillId="6" borderId="97" xfId="0" applyFont="1" applyFill="1" applyBorder="1" applyAlignment="1">
      <alignment horizontal="center" vertical="center"/>
    </xf>
    <xf numFmtId="0" fontId="17" fillId="6" borderId="84" xfId="0" applyFont="1" applyFill="1" applyBorder="1" applyAlignment="1">
      <alignment horizontal="center" vertical="center"/>
    </xf>
    <xf numFmtId="0" fontId="21" fillId="0" borderId="0" xfId="0" applyFont="1" applyFill="1"/>
    <xf numFmtId="0" fontId="17" fillId="0" borderId="76" xfId="0" applyFont="1" applyFill="1" applyBorder="1" applyAlignment="1">
      <alignment horizontal="center" vertical="center" wrapText="1"/>
    </xf>
    <xf numFmtId="0" fontId="2" fillId="0" borderId="92" xfId="0" applyFont="1" applyFill="1" applyBorder="1" applyAlignment="1">
      <alignment horizontal="center" vertical="center" wrapText="1"/>
    </xf>
    <xf numFmtId="0" fontId="17" fillId="0" borderId="92" xfId="0" applyFont="1" applyFill="1" applyBorder="1" applyAlignment="1">
      <alignment horizontal="center" vertical="center"/>
    </xf>
    <xf numFmtId="0" fontId="12" fillId="0" borderId="92" xfId="0" applyFont="1" applyFill="1" applyBorder="1" applyAlignment="1">
      <alignment horizontal="center"/>
    </xf>
    <xf numFmtId="2" fontId="14" fillId="0" borderId="92" xfId="0" applyNumberFormat="1" applyFont="1" applyFill="1" applyBorder="1" applyAlignment="1">
      <alignment vertical="center"/>
    </xf>
    <xf numFmtId="164" fontId="14" fillId="0" borderId="92" xfId="0" applyNumberFormat="1" applyFont="1" applyFill="1" applyBorder="1" applyAlignment="1">
      <alignment vertical="center"/>
    </xf>
    <xf numFmtId="0" fontId="17" fillId="0" borderId="98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12" fillId="0" borderId="94" xfId="0" applyFont="1" applyFill="1" applyBorder="1" applyAlignment="1">
      <alignment horizontal="center"/>
    </xf>
    <xf numFmtId="2" fontId="14" fillId="0" borderId="94" xfId="0" applyNumberFormat="1" applyFont="1" applyFill="1" applyBorder="1" applyAlignment="1">
      <alignment horizontal="center" vertical="center"/>
    </xf>
    <xf numFmtId="2" fontId="14" fillId="0" borderId="94" xfId="0" applyNumberFormat="1" applyFont="1" applyFill="1" applyBorder="1" applyAlignment="1">
      <alignment vertical="center"/>
    </xf>
    <xf numFmtId="0" fontId="2" fillId="0" borderId="94" xfId="0" applyFont="1" applyFill="1" applyBorder="1"/>
    <xf numFmtId="164" fontId="14" fillId="0" borderId="94" xfId="0" applyNumberFormat="1" applyFont="1" applyFill="1" applyBorder="1" applyAlignment="1">
      <alignment horizontal="center" vertical="center"/>
    </xf>
    <xf numFmtId="0" fontId="12" fillId="0" borderId="99" xfId="0" applyFont="1" applyFill="1" applyBorder="1" applyAlignment="1">
      <alignment horizontal="center"/>
    </xf>
    <xf numFmtId="2" fontId="14" fillId="0" borderId="99" xfId="0" applyNumberFormat="1" applyFont="1" applyFill="1" applyBorder="1" applyAlignment="1">
      <alignment horizontal="center" vertical="center"/>
    </xf>
    <xf numFmtId="2" fontId="14" fillId="0" borderId="99" xfId="0" applyNumberFormat="1" applyFont="1" applyFill="1" applyBorder="1" applyAlignment="1">
      <alignment vertical="center"/>
    </xf>
    <xf numFmtId="0" fontId="2" fillId="0" borderId="99" xfId="0" applyFont="1" applyFill="1" applyBorder="1"/>
    <xf numFmtId="164" fontId="14" fillId="0" borderId="99" xfId="0" applyNumberFormat="1" applyFont="1" applyFill="1" applyBorder="1" applyAlignment="1">
      <alignment horizontal="center" vertical="center"/>
    </xf>
    <xf numFmtId="0" fontId="12" fillId="0" borderId="102" xfId="0" applyFont="1" applyFill="1" applyBorder="1" applyAlignment="1">
      <alignment horizontal="center"/>
    </xf>
    <xf numFmtId="2" fontId="14" fillId="0" borderId="102" xfId="0" applyNumberFormat="1" applyFont="1" applyFill="1" applyBorder="1" applyAlignment="1">
      <alignment horizontal="center" vertical="center"/>
    </xf>
    <xf numFmtId="2" fontId="14" fillId="0" borderId="102" xfId="0" applyNumberFormat="1" applyFont="1" applyFill="1" applyBorder="1" applyAlignment="1">
      <alignment vertical="center"/>
    </xf>
    <xf numFmtId="0" fontId="2" fillId="0" borderId="102" xfId="0" applyFont="1" applyFill="1" applyBorder="1"/>
    <xf numFmtId="164" fontId="14" fillId="0" borderId="102" xfId="0" applyNumberFormat="1" applyFont="1" applyFill="1" applyBorder="1" applyAlignment="1">
      <alignment horizontal="center" vertical="center"/>
    </xf>
    <xf numFmtId="0" fontId="3" fillId="0" borderId="9" xfId="0" applyFont="1" applyBorder="1"/>
    <xf numFmtId="0" fontId="4" fillId="8" borderId="26" xfId="0" applyFont="1" applyFill="1" applyBorder="1" applyAlignment="1">
      <alignment vertical="center" wrapText="1"/>
    </xf>
    <xf numFmtId="0" fontId="4" fillId="8" borderId="105" xfId="0" applyFont="1" applyFill="1" applyBorder="1" applyAlignment="1">
      <alignment vertical="center" wrapText="1"/>
    </xf>
    <xf numFmtId="0" fontId="21" fillId="0" borderId="38" xfId="0" applyFont="1" applyBorder="1"/>
    <xf numFmtId="2" fontId="14" fillId="10" borderId="109" xfId="0" applyNumberFormat="1" applyFont="1" applyFill="1" applyBorder="1" applyAlignment="1">
      <alignment horizontal="center" vertical="center"/>
    </xf>
    <xf numFmtId="2" fontId="14" fillId="10" borderId="109" xfId="0" applyNumberFormat="1" applyFont="1" applyFill="1" applyBorder="1" applyAlignment="1">
      <alignment horizontal="center"/>
    </xf>
    <xf numFmtId="164" fontId="2" fillId="10" borderId="109" xfId="0" applyNumberFormat="1" applyFont="1" applyFill="1" applyBorder="1" applyAlignment="1">
      <alignment horizontal="center"/>
    </xf>
    <xf numFmtId="164" fontId="2" fillId="9" borderId="109" xfId="0" applyNumberFormat="1" applyFont="1" applyFill="1" applyBorder="1" applyAlignment="1">
      <alignment horizontal="center"/>
    </xf>
    <xf numFmtId="0" fontId="21" fillId="0" borderId="0" xfId="0" applyFont="1"/>
    <xf numFmtId="0" fontId="14" fillId="10" borderId="99" xfId="0" applyFont="1" applyFill="1" applyBorder="1" applyAlignment="1">
      <alignment horizontal="center"/>
    </xf>
    <xf numFmtId="2" fontId="14" fillId="10" borderId="99" xfId="0" applyNumberFormat="1" applyFont="1" applyFill="1" applyBorder="1" applyAlignment="1">
      <alignment horizontal="center" vertical="center"/>
    </xf>
    <xf numFmtId="2" fontId="14" fillId="10" borderId="99" xfId="0" applyNumberFormat="1" applyFont="1" applyFill="1" applyBorder="1" applyAlignment="1">
      <alignment horizontal="center"/>
    </xf>
    <xf numFmtId="164" fontId="2" fillId="10" borderId="99" xfId="0" applyNumberFormat="1" applyFont="1" applyFill="1" applyBorder="1" applyAlignment="1">
      <alignment horizontal="center"/>
    </xf>
    <xf numFmtId="164" fontId="2" fillId="9" borderId="99" xfId="0" applyNumberFormat="1" applyFont="1" applyFill="1" applyBorder="1" applyAlignment="1">
      <alignment horizontal="center"/>
    </xf>
    <xf numFmtId="2" fontId="14" fillId="10" borderId="116" xfId="0" applyNumberFormat="1" applyFont="1" applyFill="1" applyBorder="1" applyAlignment="1">
      <alignment horizontal="center" vertical="center"/>
    </xf>
    <xf numFmtId="2" fontId="14" fillId="10" borderId="116" xfId="0" applyNumberFormat="1" applyFont="1" applyFill="1" applyBorder="1" applyAlignment="1">
      <alignment horizontal="center"/>
    </xf>
    <xf numFmtId="164" fontId="2" fillId="10" borderId="116" xfId="0" applyNumberFormat="1" applyFont="1" applyFill="1" applyBorder="1" applyAlignment="1">
      <alignment horizontal="center"/>
    </xf>
    <xf numFmtId="164" fontId="2" fillId="11" borderId="116" xfId="0" applyNumberFormat="1" applyFont="1" applyFill="1" applyBorder="1" applyAlignment="1">
      <alignment horizontal="center"/>
    </xf>
    <xf numFmtId="0" fontId="2" fillId="0" borderId="45" xfId="0" applyFont="1" applyBorder="1" applyAlignment="1">
      <alignment horizontal="center" vertical="center"/>
    </xf>
    <xf numFmtId="0" fontId="2" fillId="0" borderId="45" xfId="0" applyFont="1" applyBorder="1" applyAlignment="1">
      <alignment vertical="center"/>
    </xf>
    <xf numFmtId="0" fontId="22" fillId="5" borderId="48" xfId="0" applyFont="1" applyFill="1" applyBorder="1" applyAlignment="1">
      <alignment horizontal="center" vertical="center"/>
    </xf>
    <xf numFmtId="0" fontId="2" fillId="0" borderId="47" xfId="0" applyFont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0" fontId="2" fillId="0" borderId="39" xfId="0" applyFont="1" applyFill="1" applyBorder="1" applyAlignment="1">
      <alignment horizontal="center" vertical="center"/>
    </xf>
    <xf numFmtId="0" fontId="2" fillId="0" borderId="45" xfId="0" applyFont="1" applyFill="1" applyBorder="1" applyAlignment="1">
      <alignment vertical="center"/>
    </xf>
    <xf numFmtId="0" fontId="22" fillId="0" borderId="48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3" fillId="0" borderId="55" xfId="0" applyFont="1" applyFill="1" applyBorder="1" applyAlignment="1">
      <alignment horizontal="center" vertical="center"/>
    </xf>
    <xf numFmtId="0" fontId="2" fillId="0" borderId="61" xfId="0" applyFont="1" applyFill="1" applyBorder="1" applyAlignment="1">
      <alignment horizontal="center" vertical="center"/>
    </xf>
    <xf numFmtId="0" fontId="22" fillId="0" borderId="64" xfId="0" applyFont="1" applyFill="1" applyBorder="1" applyAlignment="1">
      <alignment horizontal="center" vertical="center"/>
    </xf>
    <xf numFmtId="0" fontId="23" fillId="0" borderId="71" xfId="0" applyFont="1" applyFill="1" applyBorder="1" applyAlignment="1">
      <alignment vertical="top" wrapText="1"/>
    </xf>
    <xf numFmtId="0" fontId="23" fillId="0" borderId="55" xfId="0" applyFont="1" applyFill="1" applyBorder="1" applyAlignment="1">
      <alignment horizontal="center" vertical="top" wrapText="1"/>
    </xf>
    <xf numFmtId="0" fontId="23" fillId="0" borderId="74" xfId="0" applyFont="1" applyFill="1" applyBorder="1" applyAlignment="1">
      <alignment horizontal="center"/>
    </xf>
    <xf numFmtId="0" fontId="22" fillId="0" borderId="64" xfId="0" applyFont="1" applyFill="1" applyBorder="1" applyAlignment="1">
      <alignment horizontal="center" vertical="top" wrapText="1"/>
    </xf>
    <xf numFmtId="0" fontId="22" fillId="0" borderId="81" xfId="0" applyFont="1" applyFill="1" applyBorder="1" applyAlignment="1">
      <alignment horizontal="center" vertical="center" wrapText="1"/>
    </xf>
    <xf numFmtId="20" fontId="22" fillId="0" borderId="84" xfId="0" applyNumberFormat="1" applyFont="1" applyFill="1" applyBorder="1" applyAlignment="1">
      <alignment horizontal="center" vertical="top"/>
    </xf>
    <xf numFmtId="0" fontId="22" fillId="0" borderId="85" xfId="0" applyFont="1" applyFill="1" applyBorder="1" applyAlignment="1">
      <alignment horizontal="center" vertical="top"/>
    </xf>
    <xf numFmtId="0" fontId="22" fillId="0" borderId="74" xfId="0" applyFont="1" applyFill="1" applyBorder="1" applyAlignment="1">
      <alignment horizontal="center" vertical="center"/>
    </xf>
    <xf numFmtId="0" fontId="22" fillId="0" borderId="88" xfId="0" applyFont="1" applyFill="1" applyBorder="1" applyAlignment="1">
      <alignment horizontal="center" vertical="center"/>
    </xf>
    <xf numFmtId="164" fontId="17" fillId="5" borderId="118" xfId="0" applyNumberFormat="1" applyFont="1" applyFill="1" applyBorder="1" applyAlignment="1">
      <alignment horizontal="center" vertical="center"/>
    </xf>
    <xf numFmtId="0" fontId="0" fillId="0" borderId="0" xfId="0" applyFont="1" applyAlignment="1"/>
    <xf numFmtId="0" fontId="19" fillId="7" borderId="0" xfId="0" applyFont="1" applyFill="1" applyBorder="1" applyAlignment="1">
      <alignment horizontal="left" vertical="center" wrapText="1"/>
    </xf>
    <xf numFmtId="0" fontId="0" fillId="0" borderId="31" xfId="0" applyBorder="1"/>
    <xf numFmtId="0" fontId="0" fillId="0" borderId="31" xfId="0" applyBorder="1" applyAlignment="1">
      <alignment horizontal="center"/>
    </xf>
    <xf numFmtId="0" fontId="0" fillId="0" borderId="31" xfId="0" applyBorder="1" applyAlignment="1"/>
    <xf numFmtId="164" fontId="14" fillId="0" borderId="92" xfId="0" applyNumberFormat="1" applyFont="1" applyFill="1" applyBorder="1" applyAlignment="1">
      <alignment horizontal="center" vertical="center"/>
    </xf>
    <xf numFmtId="2" fontId="14" fillId="0" borderId="92" xfId="0" applyNumberFormat="1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126" xfId="0" applyFont="1" applyFill="1" applyBorder="1" applyAlignment="1">
      <alignment horizontal="center"/>
    </xf>
    <xf numFmtId="0" fontId="1" fillId="0" borderId="127" xfId="0" applyFont="1" applyFill="1" applyBorder="1" applyAlignment="1">
      <alignment horizontal="center"/>
    </xf>
    <xf numFmtId="0" fontId="1" fillId="0" borderId="128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3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2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24" xfId="0" applyFont="1" applyBorder="1" applyAlignment="1">
      <alignment horizontal="center"/>
    </xf>
    <xf numFmtId="0" fontId="1" fillId="0" borderId="12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4" fillId="4" borderId="11" xfId="0" applyFont="1" applyFill="1" applyBorder="1" applyAlignment="1">
      <alignment horizontal="center" wrapText="1"/>
    </xf>
    <xf numFmtId="0" fontId="14" fillId="4" borderId="15" xfId="0" applyFont="1" applyFill="1" applyBorder="1" applyAlignment="1">
      <alignment horizontal="center" wrapText="1"/>
    </xf>
    <xf numFmtId="164" fontId="14" fillId="12" borderId="15" xfId="0" applyNumberFormat="1" applyFont="1" applyFill="1" applyBorder="1" applyAlignment="1">
      <alignment horizontal="center"/>
    </xf>
    <xf numFmtId="164" fontId="14" fillId="12" borderId="12" xfId="0" applyNumberFormat="1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 wrapText="1"/>
    </xf>
    <xf numFmtId="0" fontId="14" fillId="4" borderId="16" xfId="0" applyFont="1" applyFill="1" applyBorder="1" applyAlignment="1">
      <alignment horizontal="center" wrapText="1"/>
    </xf>
    <xf numFmtId="0" fontId="14" fillId="12" borderId="16" xfId="0" applyFont="1" applyFill="1" applyBorder="1" applyAlignment="1">
      <alignment horizontal="center"/>
    </xf>
    <xf numFmtId="0" fontId="14" fillId="12" borderId="14" xfId="0" applyFont="1" applyFill="1" applyBorder="1" applyAlignment="1">
      <alignment horizontal="center"/>
    </xf>
    <xf numFmtId="0" fontId="0" fillId="0" borderId="123" xfId="0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124" xfId="0" applyFont="1" applyBorder="1" applyAlignment="1">
      <alignment horizontal="center" vertical="center" wrapText="1"/>
    </xf>
    <xf numFmtId="0" fontId="0" fillId="0" borderId="125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104" xfId="0" applyFont="1" applyBorder="1" applyAlignment="1">
      <alignment horizontal="left" wrapText="1"/>
    </xf>
    <xf numFmtId="0" fontId="0" fillId="0" borderId="36" xfId="0" applyFont="1" applyBorder="1" applyAlignment="1">
      <alignment horizontal="left" wrapText="1"/>
    </xf>
    <xf numFmtId="0" fontId="0" fillId="0" borderId="26" xfId="0" applyFont="1" applyFill="1" applyBorder="1" applyAlignment="1">
      <alignment horizontal="left" vertical="center" wrapText="1"/>
    </xf>
    <xf numFmtId="0" fontId="0" fillId="0" borderId="27" xfId="0" applyFont="1" applyFill="1" applyBorder="1" applyAlignment="1">
      <alignment horizontal="left" vertical="center" wrapText="1"/>
    </xf>
    <xf numFmtId="0" fontId="17" fillId="13" borderId="0" xfId="0" applyFont="1" applyFill="1" applyBorder="1" applyAlignment="1">
      <alignment horizontal="center" vertical="top" wrapText="1"/>
    </xf>
    <xf numFmtId="0" fontId="17" fillId="13" borderId="43" xfId="0" applyFont="1" applyFill="1" applyBorder="1" applyAlignment="1">
      <alignment horizontal="center" vertical="top" wrapText="1"/>
    </xf>
    <xf numFmtId="0" fontId="6" fillId="3" borderId="34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3" borderId="11" xfId="0" applyFont="1" applyFill="1" applyBorder="1" applyAlignment="1">
      <alignment horizontal="center" vertical="top"/>
    </xf>
    <xf numFmtId="0" fontId="1" fillId="3" borderId="15" xfId="0" applyFont="1" applyFill="1" applyBorder="1" applyAlignment="1">
      <alignment horizontal="center" vertical="top"/>
    </xf>
    <xf numFmtId="0" fontId="1" fillId="3" borderId="12" xfId="0" applyFont="1" applyFill="1" applyBorder="1" applyAlignment="1">
      <alignment horizontal="center" vertical="top"/>
    </xf>
    <xf numFmtId="0" fontId="14" fillId="10" borderId="108" xfId="0" applyFont="1" applyFill="1" applyBorder="1" applyAlignment="1">
      <alignment horizontal="center" vertical="center"/>
    </xf>
    <xf numFmtId="0" fontId="14" fillId="3" borderId="95" xfId="0" applyFont="1" applyFill="1" applyBorder="1"/>
    <xf numFmtId="0" fontId="14" fillId="3" borderId="115" xfId="0" applyFont="1" applyFill="1" applyBorder="1"/>
    <xf numFmtId="166" fontId="14" fillId="10" borderId="108" xfId="0" applyNumberFormat="1" applyFont="1" applyFill="1" applyBorder="1" applyAlignment="1">
      <alignment horizontal="center" vertical="center"/>
    </xf>
    <xf numFmtId="0" fontId="14" fillId="10" borderId="110" xfId="0" applyFont="1" applyFill="1" applyBorder="1" applyAlignment="1">
      <alignment horizontal="center" vertical="center"/>
    </xf>
    <xf numFmtId="0" fontId="14" fillId="3" borderId="112" xfId="0" applyFont="1" applyFill="1" applyBorder="1"/>
    <xf numFmtId="0" fontId="14" fillId="3" borderId="117" xfId="0" applyFont="1" applyFill="1" applyBorder="1"/>
    <xf numFmtId="2" fontId="14" fillId="9" borderId="97" xfId="0" applyNumberFormat="1" applyFont="1" applyFill="1" applyBorder="1" applyAlignment="1">
      <alignment horizontal="center" vertical="center"/>
    </xf>
    <xf numFmtId="164" fontId="14" fillId="9" borderId="97" xfId="0" applyNumberFormat="1" applyFont="1" applyFill="1" applyBorder="1" applyAlignment="1">
      <alignment horizontal="center" vertical="center"/>
    </xf>
    <xf numFmtId="0" fontId="5" fillId="0" borderId="27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14" fillId="9" borderId="107" xfId="0" applyFont="1" applyFill="1" applyBorder="1" applyAlignment="1">
      <alignment horizontal="center" vertical="center"/>
    </xf>
    <xf numFmtId="0" fontId="14" fillId="3" borderId="111" xfId="0" applyFont="1" applyFill="1" applyBorder="1"/>
    <xf numFmtId="0" fontId="14" fillId="3" borderId="114" xfId="0" applyFont="1" applyFill="1" applyBorder="1"/>
    <xf numFmtId="2" fontId="14" fillId="9" borderId="108" xfId="0" applyNumberFormat="1" applyFont="1" applyFill="1" applyBorder="1" applyAlignment="1">
      <alignment horizontal="center" vertical="center"/>
    </xf>
    <xf numFmtId="0" fontId="14" fillId="3" borderId="113" xfId="0" applyFont="1" applyFill="1" applyBorder="1"/>
    <xf numFmtId="164" fontId="14" fillId="9" borderId="108" xfId="0" applyNumberFormat="1" applyFont="1" applyFill="1" applyBorder="1" applyAlignment="1">
      <alignment horizontal="center" vertical="center"/>
    </xf>
    <xf numFmtId="164" fontId="14" fillId="10" borderId="108" xfId="0" applyNumberFormat="1" applyFont="1" applyFill="1" applyBorder="1" applyAlignment="1">
      <alignment horizontal="center" vertical="center"/>
    </xf>
    <xf numFmtId="164" fontId="14" fillId="0" borderId="92" xfId="0" applyNumberFormat="1" applyFont="1" applyFill="1" applyBorder="1" applyAlignment="1">
      <alignment horizontal="center" vertical="center"/>
    </xf>
    <xf numFmtId="0" fontId="14" fillId="0" borderId="95" xfId="0" applyFont="1" applyFill="1" applyBorder="1"/>
    <xf numFmtId="0" fontId="14" fillId="0" borderId="101" xfId="0" applyFont="1" applyFill="1" applyBorder="1"/>
    <xf numFmtId="165" fontId="14" fillId="0" borderId="92" xfId="0" applyNumberFormat="1" applyFont="1" applyFill="1" applyBorder="1" applyAlignment="1">
      <alignment horizontal="center" vertical="center"/>
    </xf>
    <xf numFmtId="0" fontId="14" fillId="0" borderId="92" xfId="0" applyFont="1" applyFill="1" applyBorder="1" applyAlignment="1">
      <alignment horizontal="center" vertical="center"/>
    </xf>
    <xf numFmtId="0" fontId="14" fillId="0" borderId="98" xfId="0" applyFont="1" applyFill="1" applyBorder="1" applyAlignment="1">
      <alignment horizontal="center" vertical="center"/>
    </xf>
    <xf numFmtId="0" fontId="14" fillId="0" borderId="100" xfId="0" applyFont="1" applyFill="1" applyBorder="1"/>
    <xf numFmtId="0" fontId="14" fillId="0" borderId="103" xfId="0" applyFont="1" applyFill="1" applyBorder="1"/>
    <xf numFmtId="0" fontId="4" fillId="8" borderId="104" xfId="0" applyFont="1" applyFill="1" applyBorder="1" applyAlignment="1">
      <alignment horizontal="center" vertical="center" textRotation="90"/>
    </xf>
    <xf numFmtId="0" fontId="4" fillId="8" borderId="105" xfId="0" applyFont="1" applyFill="1" applyBorder="1" applyAlignment="1">
      <alignment horizontal="center" vertical="center" textRotation="90"/>
    </xf>
    <xf numFmtId="0" fontId="4" fillId="8" borderId="106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top"/>
    </xf>
    <xf numFmtId="0" fontId="4" fillId="2" borderId="8" xfId="0" applyFont="1" applyFill="1" applyBorder="1" applyAlignment="1">
      <alignment horizontal="center" vertical="top"/>
    </xf>
    <xf numFmtId="0" fontId="2" fillId="0" borderId="76" xfId="0" applyFont="1" applyFill="1" applyBorder="1" applyAlignment="1">
      <alignment horizontal="center" vertical="center"/>
    </xf>
    <xf numFmtId="0" fontId="14" fillId="0" borderId="73" xfId="0" applyFont="1" applyFill="1" applyBorder="1"/>
    <xf numFmtId="0" fontId="14" fillId="0" borderId="80" xfId="0" applyFont="1" applyFill="1" applyBorder="1"/>
    <xf numFmtId="2" fontId="14" fillId="0" borderId="92" xfId="0" applyNumberFormat="1" applyFont="1" applyFill="1" applyBorder="1" applyAlignment="1">
      <alignment horizontal="center" vertical="center"/>
    </xf>
    <xf numFmtId="0" fontId="14" fillId="7" borderId="43" xfId="0" applyFont="1" applyFill="1" applyBorder="1" applyAlignment="1">
      <alignment horizontal="center" vertical="center" wrapText="1"/>
    </xf>
    <xf numFmtId="0" fontId="14" fillId="0" borderId="43" xfId="0" applyFont="1" applyBorder="1" applyAlignment="1">
      <alignment horizontal="center"/>
    </xf>
    <xf numFmtId="0" fontId="14" fillId="7" borderId="43" xfId="0" applyFont="1" applyFill="1" applyBorder="1" applyAlignment="1">
      <alignment horizontal="center"/>
    </xf>
    <xf numFmtId="0" fontId="14" fillId="0" borderId="43" xfId="0" applyFont="1" applyBorder="1"/>
    <xf numFmtId="0" fontId="14" fillId="0" borderId="44" xfId="0" applyFont="1" applyBorder="1"/>
    <xf numFmtId="0" fontId="17" fillId="6" borderId="76" xfId="0" applyFont="1" applyFill="1" applyBorder="1" applyAlignment="1">
      <alignment horizontal="center" vertical="center" wrapText="1"/>
    </xf>
    <xf numFmtId="0" fontId="14" fillId="0" borderId="73" xfId="0" applyFont="1" applyBorder="1"/>
    <xf numFmtId="0" fontId="17" fillId="6" borderId="92" xfId="0" applyFont="1" applyFill="1" applyBorder="1" applyAlignment="1">
      <alignment horizontal="center" vertical="center" wrapText="1"/>
    </xf>
    <xf numFmtId="0" fontId="14" fillId="0" borderId="95" xfId="0" applyFont="1" applyBorder="1"/>
    <xf numFmtId="0" fontId="17" fillId="6" borderId="92" xfId="0" applyFont="1" applyFill="1" applyBorder="1" applyAlignment="1">
      <alignment horizontal="center" vertical="center"/>
    </xf>
    <xf numFmtId="0" fontId="17" fillId="6" borderId="52" xfId="0" applyFont="1" applyFill="1" applyBorder="1" applyAlignment="1">
      <alignment horizontal="center" vertical="center"/>
    </xf>
    <xf numFmtId="0" fontId="14" fillId="0" borderId="40" xfId="0" applyFont="1" applyBorder="1"/>
    <xf numFmtId="0" fontId="14" fillId="0" borderId="78" xfId="0" applyFont="1" applyBorder="1"/>
    <xf numFmtId="0" fontId="14" fillId="0" borderId="0" xfId="0" applyFont="1" applyBorder="1"/>
    <xf numFmtId="0" fontId="17" fillId="6" borderId="93" xfId="0" applyFont="1" applyFill="1" applyBorder="1" applyAlignment="1">
      <alignment horizontal="center" vertical="center" wrapText="1"/>
    </xf>
    <xf numFmtId="0" fontId="14" fillId="0" borderId="96" xfId="0" applyFont="1" applyBorder="1"/>
    <xf numFmtId="0" fontId="17" fillId="6" borderId="39" xfId="0" applyFont="1" applyFill="1" applyBorder="1" applyAlignment="1">
      <alignment horizontal="center" vertical="center" textRotation="90" wrapText="1"/>
    </xf>
    <xf numFmtId="0" fontId="14" fillId="0" borderId="90" xfId="0" applyFont="1" applyBorder="1"/>
    <xf numFmtId="0" fontId="14" fillId="0" borderId="42" xfId="0" applyFont="1" applyBorder="1"/>
    <xf numFmtId="0" fontId="14" fillId="0" borderId="39" xfId="0" applyFont="1" applyFill="1" applyBorder="1" applyAlignment="1">
      <alignment horizontal="center" vertical="center"/>
    </xf>
    <xf numFmtId="0" fontId="14" fillId="0" borderId="40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 vertical="center" wrapText="1"/>
    </xf>
    <xf numFmtId="0" fontId="14" fillId="0" borderId="40" xfId="0" applyFont="1" applyFill="1" applyBorder="1" applyAlignment="1">
      <alignment horizontal="center" vertical="center"/>
    </xf>
    <xf numFmtId="0" fontId="14" fillId="0" borderId="41" xfId="0" applyFont="1" applyFill="1" applyBorder="1" applyAlignment="1">
      <alignment horizontal="center"/>
    </xf>
    <xf numFmtId="0" fontId="14" fillId="7" borderId="90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0" fontId="14" fillId="7" borderId="0" xfId="0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center" vertical="center"/>
    </xf>
    <xf numFmtId="0" fontId="14" fillId="7" borderId="0" xfId="0" applyFont="1" applyFill="1" applyBorder="1" applyAlignment="1">
      <alignment horizontal="center"/>
    </xf>
    <xf numFmtId="0" fontId="14" fillId="0" borderId="91" xfId="0" applyFont="1" applyBorder="1"/>
    <xf numFmtId="0" fontId="14" fillId="7" borderId="42" xfId="0" applyFont="1" applyFill="1" applyBorder="1" applyAlignment="1">
      <alignment horizontal="center" vertical="center" wrapText="1"/>
    </xf>
    <xf numFmtId="0" fontId="2" fillId="0" borderId="83" xfId="0" applyFont="1" applyFill="1" applyBorder="1" applyAlignment="1">
      <alignment horizontal="center" vertical="center" wrapText="1"/>
    </xf>
    <xf numFmtId="0" fontId="14" fillId="0" borderId="86" xfId="0" applyFont="1" applyFill="1" applyBorder="1"/>
    <xf numFmtId="0" fontId="2" fillId="0" borderId="62" xfId="0" applyFont="1" applyFill="1" applyBorder="1" applyAlignment="1">
      <alignment horizontal="center" vertical="center"/>
    </xf>
    <xf numFmtId="0" fontId="14" fillId="0" borderId="63" xfId="0" applyFont="1" applyFill="1" applyBorder="1"/>
    <xf numFmtId="0" fontId="2" fillId="0" borderId="62" xfId="0" applyFont="1" applyFill="1" applyBorder="1" applyAlignment="1">
      <alignment horizontal="center"/>
    </xf>
    <xf numFmtId="0" fontId="2" fillId="0" borderId="62" xfId="0" applyFont="1" applyFill="1" applyBorder="1" applyAlignment="1">
      <alignment horizontal="center" vertical="top"/>
    </xf>
    <xf numFmtId="0" fontId="22" fillId="0" borderId="62" xfId="0" applyFont="1" applyFill="1" applyBorder="1" applyAlignment="1">
      <alignment horizontal="center" vertical="center" wrapText="1"/>
    </xf>
    <xf numFmtId="0" fontId="15" fillId="0" borderId="89" xfId="0" applyFont="1" applyFill="1" applyBorder="1"/>
    <xf numFmtId="0" fontId="2" fillId="0" borderId="81" xfId="0" applyFont="1" applyFill="1" applyBorder="1" applyAlignment="1">
      <alignment horizontal="center" vertical="center"/>
    </xf>
    <xf numFmtId="0" fontId="2" fillId="0" borderId="83" xfId="0" applyFont="1" applyFill="1" applyBorder="1" applyAlignment="1">
      <alignment horizontal="center" vertical="center"/>
    </xf>
    <xf numFmtId="0" fontId="14" fillId="0" borderId="75" xfId="0" applyFont="1" applyFill="1" applyBorder="1"/>
    <xf numFmtId="0" fontId="2" fillId="0" borderId="83" xfId="0" applyFont="1" applyFill="1" applyBorder="1" applyAlignment="1">
      <alignment horizontal="center"/>
    </xf>
    <xf numFmtId="0" fontId="2" fillId="0" borderId="53" xfId="0" applyFont="1" applyFill="1" applyBorder="1" applyAlignment="1">
      <alignment horizontal="center" vertical="top"/>
    </xf>
    <xf numFmtId="0" fontId="14" fillId="0" borderId="54" xfId="0" applyFont="1" applyFill="1" applyBorder="1"/>
    <xf numFmtId="0" fontId="22" fillId="0" borderId="65" xfId="0" applyFont="1" applyFill="1" applyBorder="1" applyAlignment="1">
      <alignment horizontal="center"/>
    </xf>
    <xf numFmtId="0" fontId="15" fillId="0" borderId="65" xfId="0" applyFont="1" applyFill="1" applyBorder="1"/>
    <xf numFmtId="0" fontId="23" fillId="0" borderId="66" xfId="0" applyFont="1" applyFill="1" applyBorder="1" applyAlignment="1">
      <alignment horizontal="center"/>
    </xf>
    <xf numFmtId="0" fontId="15" fillId="0" borderId="67" xfId="0" applyFont="1" applyFill="1" applyBorder="1"/>
    <xf numFmtId="0" fontId="15" fillId="0" borderId="68" xfId="0" applyFont="1" applyFill="1" applyBorder="1"/>
    <xf numFmtId="0" fontId="23" fillId="0" borderId="69" xfId="0" applyFont="1" applyFill="1" applyBorder="1" applyAlignment="1">
      <alignment horizontal="center"/>
    </xf>
    <xf numFmtId="0" fontId="15" fillId="0" borderId="70" xfId="0" applyFont="1" applyFill="1" applyBorder="1"/>
    <xf numFmtId="0" fontId="17" fillId="6" borderId="72" xfId="0" applyFont="1" applyFill="1" applyBorder="1" applyAlignment="1">
      <alignment horizontal="center" vertical="center" wrapText="1"/>
    </xf>
    <xf numFmtId="0" fontId="14" fillId="0" borderId="79" xfId="0" applyFont="1" applyBorder="1"/>
    <xf numFmtId="0" fontId="14" fillId="0" borderId="87" xfId="0" applyFont="1" applyBorder="1"/>
    <xf numFmtId="0" fontId="24" fillId="0" borderId="73" xfId="0" applyFont="1" applyFill="1" applyBorder="1" applyAlignment="1">
      <alignment horizontal="center" vertical="center" wrapText="1"/>
    </xf>
    <xf numFmtId="0" fontId="2" fillId="0" borderId="74" xfId="0" applyFont="1" applyFill="1" applyBorder="1" applyAlignment="1">
      <alignment horizontal="center" vertical="center"/>
    </xf>
    <xf numFmtId="0" fontId="24" fillId="0" borderId="76" xfId="0" applyFont="1" applyFill="1" applyBorder="1" applyAlignment="1">
      <alignment horizontal="center" vertical="center" wrapText="1"/>
    </xf>
    <xf numFmtId="0" fontId="2" fillId="0" borderId="77" xfId="0" applyFont="1" applyFill="1" applyBorder="1" applyAlignment="1">
      <alignment horizontal="center" vertical="center"/>
    </xf>
    <xf numFmtId="0" fontId="22" fillId="0" borderId="78" xfId="0" applyFont="1" applyFill="1" applyBorder="1" applyAlignment="1">
      <alignment horizontal="center" vertical="center"/>
    </xf>
    <xf numFmtId="0" fontId="15" fillId="0" borderId="0" xfId="0" applyFont="1" applyFill="1" applyBorder="1"/>
    <xf numFmtId="0" fontId="15" fillId="0" borderId="40" xfId="0" applyFont="1" applyFill="1" applyBorder="1"/>
    <xf numFmtId="0" fontId="15" fillId="0" borderId="41" xfId="0" applyFont="1" applyFill="1" applyBorder="1"/>
    <xf numFmtId="0" fontId="15" fillId="0" borderId="82" xfId="0" applyFont="1" applyFill="1" applyBorder="1"/>
    <xf numFmtId="0" fontId="15" fillId="0" borderId="43" xfId="0" applyFont="1" applyFill="1" applyBorder="1"/>
    <xf numFmtId="0" fontId="15" fillId="0" borderId="44" xfId="0" applyFont="1" applyFill="1" applyBorder="1"/>
    <xf numFmtId="0" fontId="2" fillId="0" borderId="50" xfId="0" applyFont="1" applyFill="1" applyBorder="1" applyAlignment="1">
      <alignment horizontal="center" vertical="center"/>
    </xf>
    <xf numFmtId="0" fontId="14" fillId="0" borderId="51" xfId="0" applyFont="1" applyFill="1" applyBorder="1" applyAlignment="1">
      <alignment vertical="center"/>
    </xf>
    <xf numFmtId="0" fontId="22" fillId="0" borderId="52" xfId="0" applyFont="1" applyFill="1" applyBorder="1" applyAlignment="1">
      <alignment horizontal="center" vertical="center"/>
    </xf>
    <xf numFmtId="0" fontId="15" fillId="0" borderId="40" xfId="0" applyFont="1" applyFill="1" applyBorder="1" applyAlignment="1">
      <alignment vertical="center"/>
    </xf>
    <xf numFmtId="0" fontId="15" fillId="0" borderId="41" xfId="0" applyFont="1" applyFill="1" applyBorder="1" applyAlignment="1">
      <alignment vertical="center"/>
    </xf>
    <xf numFmtId="0" fontId="16" fillId="0" borderId="52" xfId="0" applyFont="1" applyFill="1" applyBorder="1" applyAlignment="1">
      <alignment horizontal="center" vertical="center"/>
    </xf>
    <xf numFmtId="0" fontId="15" fillId="0" borderId="51" xfId="0" applyFont="1" applyFill="1" applyBorder="1" applyAlignment="1">
      <alignment vertical="center"/>
    </xf>
    <xf numFmtId="0" fontId="17" fillId="6" borderId="39" xfId="0" applyFont="1" applyFill="1" applyBorder="1" applyAlignment="1">
      <alignment horizontal="center" vertical="center" wrapText="1"/>
    </xf>
    <xf numFmtId="0" fontId="2" fillId="0" borderId="53" xfId="0" applyFont="1" applyFill="1" applyBorder="1" applyAlignment="1">
      <alignment horizontal="center"/>
    </xf>
    <xf numFmtId="0" fontId="2" fillId="0" borderId="56" xfId="0" applyFont="1" applyFill="1" applyBorder="1" applyAlignment="1">
      <alignment horizontal="center" vertical="center"/>
    </xf>
    <xf numFmtId="0" fontId="14" fillId="0" borderId="56" xfId="0" applyFont="1" applyFill="1" applyBorder="1"/>
    <xf numFmtId="0" fontId="2" fillId="0" borderId="57" xfId="0" applyFont="1" applyFill="1" applyBorder="1" applyAlignment="1">
      <alignment horizontal="center" vertical="center" wrapText="1"/>
    </xf>
    <xf numFmtId="0" fontId="14" fillId="0" borderId="58" xfId="0" applyFont="1" applyFill="1" applyBorder="1"/>
    <xf numFmtId="0" fontId="14" fillId="0" borderId="59" xfId="0" applyFont="1" applyFill="1" applyBorder="1"/>
    <xf numFmtId="0" fontId="2" fillId="0" borderId="56" xfId="0" applyFont="1" applyFill="1" applyBorder="1" applyAlignment="1">
      <alignment horizontal="center" vertical="center" wrapText="1"/>
    </xf>
    <xf numFmtId="0" fontId="14" fillId="0" borderId="60" xfId="0" applyFont="1" applyFill="1" applyBorder="1"/>
    <xf numFmtId="0" fontId="13" fillId="0" borderId="40" xfId="0" applyFont="1" applyBorder="1" applyAlignment="1">
      <alignment horizontal="center" wrapText="1"/>
    </xf>
    <xf numFmtId="14" fontId="22" fillId="0" borderId="46" xfId="0" applyNumberFormat="1" applyFont="1" applyFill="1" applyBorder="1" applyAlignment="1">
      <alignment horizontal="center" vertical="center"/>
    </xf>
    <xf numFmtId="0" fontId="15" fillId="0" borderId="47" xfId="0" applyFont="1" applyFill="1" applyBorder="1"/>
    <xf numFmtId="0" fontId="22" fillId="0" borderId="46" xfId="0" applyFont="1" applyBorder="1" applyAlignment="1">
      <alignment horizontal="center" vertical="center" wrapText="1"/>
    </xf>
    <xf numFmtId="0" fontId="15" fillId="0" borderId="47" xfId="0" applyFont="1" applyBorder="1"/>
    <xf numFmtId="0" fontId="15" fillId="0" borderId="49" xfId="0" applyFont="1" applyBorder="1"/>
    <xf numFmtId="0" fontId="1" fillId="0" borderId="11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32" xfId="0" applyFont="1" applyFill="1" applyBorder="1" applyAlignment="1">
      <alignment horizontal="center"/>
    </xf>
    <xf numFmtId="0" fontId="1" fillId="0" borderId="37" xfId="0" applyFont="1" applyFill="1" applyBorder="1" applyAlignment="1">
      <alignment horizontal="center"/>
    </xf>
    <xf numFmtId="0" fontId="1" fillId="0" borderId="119" xfId="0" applyFont="1" applyFill="1" applyBorder="1" applyAlignment="1">
      <alignment horizontal="center"/>
    </xf>
    <xf numFmtId="0" fontId="1" fillId="0" borderId="120" xfId="0" applyFont="1" applyFill="1" applyBorder="1" applyAlignment="1">
      <alignment horizontal="center"/>
    </xf>
    <xf numFmtId="164" fontId="14" fillId="12" borderId="16" xfId="0" applyNumberFormat="1" applyFont="1" applyFill="1" applyBorder="1" applyAlignment="1">
      <alignment horizontal="center"/>
    </xf>
    <xf numFmtId="164" fontId="14" fillId="12" borderId="14" xfId="0" applyNumberFormat="1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0" fillId="0" borderId="121" xfId="0" applyBorder="1" applyAlignment="1">
      <alignment horizontal="center" vertical="center" wrapText="1"/>
    </xf>
    <xf numFmtId="0" fontId="0" fillId="0" borderId="122" xfId="0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3" fillId="0" borderId="121" xfId="0" applyFont="1" applyBorder="1" applyAlignment="1">
      <alignment horizontal="center"/>
    </xf>
    <xf numFmtId="0" fontId="3" fillId="0" borderId="129" xfId="0" applyFont="1" applyBorder="1" applyAlignment="1">
      <alignment horizontal="center"/>
    </xf>
    <xf numFmtId="0" fontId="3" fillId="0" borderId="130" xfId="0" applyFont="1" applyBorder="1" applyAlignment="1">
      <alignment horizontal="center"/>
    </xf>
    <xf numFmtId="0" fontId="3" fillId="0" borderId="122" xfId="0" applyFont="1" applyBorder="1" applyAlignment="1">
      <alignment horizontal="center"/>
    </xf>
    <xf numFmtId="0" fontId="0" fillId="0" borderId="121" xfId="0" applyBorder="1" applyAlignment="1">
      <alignment horizontal="center"/>
    </xf>
    <xf numFmtId="0" fontId="1" fillId="4" borderId="121" xfId="0" applyFont="1" applyFill="1" applyBorder="1" applyAlignment="1">
      <alignment horizontal="center"/>
    </xf>
    <xf numFmtId="0" fontId="1" fillId="4" borderId="122" xfId="0" applyFont="1" applyFill="1" applyBorder="1" applyAlignment="1">
      <alignment horizontal="center"/>
    </xf>
    <xf numFmtId="0" fontId="0" fillId="0" borderId="31" xfId="0" applyFont="1" applyBorder="1"/>
    <xf numFmtId="0" fontId="0" fillId="0" borderId="13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25" fillId="0" borderId="13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6" fillId="0" borderId="131" xfId="0" applyFont="1" applyBorder="1" applyAlignment="1">
      <alignment horizontal="center" wrapText="1"/>
    </xf>
    <xf numFmtId="0" fontId="26" fillId="0" borderId="3" xfId="0" applyFont="1" applyBorder="1" applyAlignment="1">
      <alignment horizontal="center" wrapText="1"/>
    </xf>
    <xf numFmtId="0" fontId="0" fillId="0" borderId="25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25" fillId="0" borderId="25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wrapText="1"/>
    </xf>
    <xf numFmtId="0" fontId="26" fillId="0" borderId="8" xfId="0" applyFont="1" applyBorder="1" applyAlignment="1">
      <alignment horizontal="center" wrapText="1"/>
    </xf>
  </cellXfs>
  <cellStyles count="3">
    <cellStyle name="Moned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jpeg"/><Relationship Id="rId7" Type="http://schemas.openxmlformats.org/officeDocument/2006/relationships/image" Target="../media/image10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jpe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13.jpeg"/><Relationship Id="rId7" Type="http://schemas.openxmlformats.org/officeDocument/2006/relationships/image" Target="../media/image10.png"/><Relationship Id="rId2" Type="http://schemas.openxmlformats.org/officeDocument/2006/relationships/image" Target="../media/image12.jpeg"/><Relationship Id="rId1" Type="http://schemas.openxmlformats.org/officeDocument/2006/relationships/image" Target="../media/image4.jpeg"/><Relationship Id="rId6" Type="http://schemas.openxmlformats.org/officeDocument/2006/relationships/image" Target="../media/image16.jpeg"/><Relationship Id="rId5" Type="http://schemas.openxmlformats.org/officeDocument/2006/relationships/image" Target="../media/image15.jpeg"/><Relationship Id="rId4" Type="http://schemas.openxmlformats.org/officeDocument/2006/relationships/image" Target="../media/image1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7" Type="http://schemas.openxmlformats.org/officeDocument/2006/relationships/image" Target="../media/image11.png"/><Relationship Id="rId2" Type="http://schemas.openxmlformats.org/officeDocument/2006/relationships/image" Target="../media/image5.jpeg"/><Relationship Id="rId1" Type="http://schemas.openxmlformats.org/officeDocument/2006/relationships/image" Target="../media/image17.jpeg"/><Relationship Id="rId6" Type="http://schemas.openxmlformats.org/officeDocument/2006/relationships/image" Target="../media/image10.png"/><Relationship Id="rId5" Type="http://schemas.openxmlformats.org/officeDocument/2006/relationships/image" Target="../media/image20.jpeg"/><Relationship Id="rId4" Type="http://schemas.openxmlformats.org/officeDocument/2006/relationships/image" Target="../media/image19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jpeg"/><Relationship Id="rId7" Type="http://schemas.openxmlformats.org/officeDocument/2006/relationships/image" Target="../media/image11.png"/><Relationship Id="rId2" Type="http://schemas.openxmlformats.org/officeDocument/2006/relationships/image" Target="../media/image21.jpeg"/><Relationship Id="rId1" Type="http://schemas.openxmlformats.org/officeDocument/2006/relationships/image" Target="../media/image17.jpeg"/><Relationship Id="rId6" Type="http://schemas.openxmlformats.org/officeDocument/2006/relationships/image" Target="../media/image10.png"/><Relationship Id="rId5" Type="http://schemas.openxmlformats.org/officeDocument/2006/relationships/image" Target="../media/image24.jpeg"/><Relationship Id="rId4" Type="http://schemas.openxmlformats.org/officeDocument/2006/relationships/image" Target="../media/image2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9</xdr:col>
      <xdr:colOff>0</xdr:colOff>
      <xdr:row>23</xdr:row>
      <xdr:rowOff>0</xdr:rowOff>
    </xdr:to>
    <xdr:pic>
      <xdr:nvPicPr>
        <xdr:cNvPr id="5" name="Imagen 4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647" y="470647"/>
          <a:ext cx="5334000" cy="381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9</xdr:col>
      <xdr:colOff>0</xdr:colOff>
      <xdr:row>37</xdr:row>
      <xdr:rowOff>0</xdr:rowOff>
    </xdr:to>
    <xdr:pic>
      <xdr:nvPicPr>
        <xdr:cNvPr id="7" name="Imagen 6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647" y="4840941"/>
          <a:ext cx="5334000" cy="1905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94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1793663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231510</xdr:colOff>
      <xdr:row>110</xdr:row>
      <xdr:rowOff>134938</xdr:rowOff>
    </xdr:from>
    <xdr:to>
      <xdr:col>5</xdr:col>
      <xdr:colOff>491406</xdr:colOff>
      <xdr:row>116</xdr:row>
      <xdr:rowOff>318335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241035" y="21242338"/>
          <a:ext cx="3041196" cy="1802647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110</xdr:row>
      <xdr:rowOff>123031</xdr:rowOff>
    </xdr:from>
    <xdr:to>
      <xdr:col>10</xdr:col>
      <xdr:colOff>445918</xdr:colOff>
      <xdr:row>116</xdr:row>
      <xdr:rowOff>306428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01533" y="21230431"/>
          <a:ext cx="3007085" cy="1802647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396875</xdr:colOff>
      <xdr:row>119</xdr:row>
      <xdr:rowOff>142875</xdr:rowOff>
    </xdr:from>
    <xdr:to>
      <xdr:col>4</xdr:col>
      <xdr:colOff>9525</xdr:colOff>
      <xdr:row>119</xdr:row>
      <xdr:rowOff>1906826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739"/>
        <a:stretch/>
      </xdr:blipFill>
      <xdr:spPr>
        <a:xfrm>
          <a:off x="406400" y="23774400"/>
          <a:ext cx="1679575" cy="1763951"/>
        </a:xfrm>
        <a:prstGeom prst="rect">
          <a:avLst/>
        </a:prstGeom>
      </xdr:spPr>
    </xdr:pic>
    <xdr:clientData/>
  </xdr:twoCellAnchor>
  <xdr:twoCellAnchor editAs="oneCell">
    <xdr:from>
      <xdr:col>8</xdr:col>
      <xdr:colOff>296098</xdr:colOff>
      <xdr:row>119</xdr:row>
      <xdr:rowOff>233422</xdr:rowOff>
    </xdr:from>
    <xdr:to>
      <xdr:col>11</xdr:col>
      <xdr:colOff>269875</xdr:colOff>
      <xdr:row>119</xdr:row>
      <xdr:rowOff>1834945</xdr:rowOff>
    </xdr:to>
    <xdr:pic>
      <xdr:nvPicPr>
        <xdr:cNvPr id="9" name="Imagen 1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3975"/>
        <a:stretch/>
      </xdr:blipFill>
      <xdr:spPr>
        <a:xfrm>
          <a:off x="5230048" y="23864947"/>
          <a:ext cx="2116902" cy="1601523"/>
        </a:xfrm>
        <a:prstGeom prst="rect">
          <a:avLst/>
        </a:prstGeom>
      </xdr:spPr>
    </xdr:pic>
    <xdr:clientData/>
  </xdr:twoCellAnchor>
  <xdr:twoCellAnchor editAs="oneCell">
    <xdr:from>
      <xdr:col>12</xdr:col>
      <xdr:colOff>66674</xdr:colOff>
      <xdr:row>119</xdr:row>
      <xdr:rowOff>232742</xdr:rowOff>
    </xdr:from>
    <xdr:to>
      <xdr:col>15</xdr:col>
      <xdr:colOff>237484</xdr:colOff>
      <xdr:row>119</xdr:row>
      <xdr:rowOff>1846502</xdr:rowOff>
    </xdr:to>
    <xdr:pic>
      <xdr:nvPicPr>
        <xdr:cNvPr id="10" name="Imagen 1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46" r="8785"/>
        <a:stretch/>
      </xdr:blipFill>
      <xdr:spPr>
        <a:xfrm>
          <a:off x="7858124" y="23864267"/>
          <a:ext cx="2313935" cy="161376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457200</xdr:colOff>
      <xdr:row>119</xdr:row>
      <xdr:rowOff>128827</xdr:rowOff>
    </xdr:from>
    <xdr:to>
      <xdr:col>7</xdr:col>
      <xdr:colOff>437327</xdr:colOff>
      <xdr:row>119</xdr:row>
      <xdr:rowOff>1881427</xdr:rowOff>
    </xdr:to>
    <xdr:pic>
      <xdr:nvPicPr>
        <xdr:cNvPr id="11" name="Imagen 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3650" y="23760352"/>
          <a:ext cx="2123252" cy="1752600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88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6985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2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6985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91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7521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7521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91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7474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7474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91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7545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5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7545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91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7514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6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7514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91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7541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7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7541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88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6953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8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6953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88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6938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9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6938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88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7032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0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7032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15062</xdr:rowOff>
    </xdr:from>
    <xdr:to>
      <xdr:col>3</xdr:col>
      <xdr:colOff>400050</xdr:colOff>
      <xdr:row>2</xdr:row>
      <xdr:rowOff>309220</xdr:rowOff>
    </xdr:to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66700" y="72212"/>
          <a:ext cx="1495425" cy="67515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314325</xdr:rowOff>
    </xdr:to>
    <xdr:pic>
      <xdr:nvPicPr>
        <xdr:cNvPr id="22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843441" y="104775"/>
          <a:ext cx="670277" cy="6191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89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1707938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105</xdr:row>
      <xdr:rowOff>63500</xdr:rowOff>
    </xdr:from>
    <xdr:to>
      <xdr:col>5</xdr:col>
      <xdr:colOff>408063</xdr:colOff>
      <xdr:row>111</xdr:row>
      <xdr:rowOff>250298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20313650"/>
          <a:ext cx="3041196" cy="180604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105</xdr:row>
      <xdr:rowOff>63500</xdr:rowOff>
    </xdr:from>
    <xdr:to>
      <xdr:col>10</xdr:col>
      <xdr:colOff>445918</xdr:colOff>
      <xdr:row>111</xdr:row>
      <xdr:rowOff>250298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01533" y="20313650"/>
          <a:ext cx="3007085" cy="180604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360224</xdr:colOff>
      <xdr:row>114</xdr:row>
      <xdr:rowOff>64294</xdr:rowOff>
    </xdr:from>
    <xdr:to>
      <xdr:col>4</xdr:col>
      <xdr:colOff>371474</xdr:colOff>
      <xdr:row>114</xdr:row>
      <xdr:rowOff>1984294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767924" y="23078569"/>
          <a:ext cx="1920000" cy="1440000"/>
        </a:xfrm>
        <a:prstGeom prst="rect">
          <a:avLst/>
        </a:prstGeom>
      </xdr:spPr>
    </xdr:pic>
    <xdr:clientData/>
  </xdr:twoCellAnchor>
  <xdr:twoCellAnchor editAs="oneCell">
    <xdr:from>
      <xdr:col>9</xdr:col>
      <xdr:colOff>581661</xdr:colOff>
      <xdr:row>114</xdr:row>
      <xdr:rowOff>59513</xdr:rowOff>
    </xdr:from>
    <xdr:to>
      <xdr:col>11</xdr:col>
      <xdr:colOff>592911</xdr:colOff>
      <xdr:row>114</xdr:row>
      <xdr:rowOff>1979513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5989986" y="23073788"/>
          <a:ext cx="1920000" cy="144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624506</xdr:colOff>
      <xdr:row>114</xdr:row>
      <xdr:rowOff>78544</xdr:rowOff>
    </xdr:from>
    <xdr:to>
      <xdr:col>14</xdr:col>
      <xdr:colOff>635756</xdr:colOff>
      <xdr:row>114</xdr:row>
      <xdr:rowOff>1998544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8175956" y="23092819"/>
          <a:ext cx="1920000" cy="1440000"/>
        </a:xfrm>
        <a:prstGeom prst="rect">
          <a:avLst/>
        </a:prstGeom>
      </xdr:spPr>
    </xdr:pic>
    <xdr:clientData/>
  </xdr:twoCellAnchor>
  <xdr:twoCellAnchor editAs="oneCell">
    <xdr:from>
      <xdr:col>6</xdr:col>
      <xdr:colOff>572100</xdr:colOff>
      <xdr:row>114</xdr:row>
      <xdr:rowOff>61857</xdr:rowOff>
    </xdr:from>
    <xdr:to>
      <xdr:col>8</xdr:col>
      <xdr:colOff>583350</xdr:colOff>
      <xdr:row>114</xdr:row>
      <xdr:rowOff>1981857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837300" y="23076132"/>
          <a:ext cx="1920000" cy="1440000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83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61280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2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61280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86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66644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66644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86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66167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66167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86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66879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5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66879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86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66572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6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66572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86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66842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7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66842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83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60964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8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60964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83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60812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9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60812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83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61751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0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61751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15062</xdr:rowOff>
    </xdr:from>
    <xdr:to>
      <xdr:col>3</xdr:col>
      <xdr:colOff>400050</xdr:colOff>
      <xdr:row>2</xdr:row>
      <xdr:rowOff>309220</xdr:rowOff>
    </xdr:to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66700" y="72212"/>
          <a:ext cx="1495425" cy="67515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314325</xdr:rowOff>
    </xdr:to>
    <xdr:pic>
      <xdr:nvPicPr>
        <xdr:cNvPr id="22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843441" y="104775"/>
          <a:ext cx="670277" cy="6191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89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1707938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105</xdr:row>
      <xdr:rowOff>63500</xdr:rowOff>
    </xdr:from>
    <xdr:to>
      <xdr:col>5</xdr:col>
      <xdr:colOff>408063</xdr:colOff>
      <xdr:row>111</xdr:row>
      <xdr:rowOff>246895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20313650"/>
          <a:ext cx="3041196" cy="180264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105</xdr:row>
      <xdr:rowOff>63500</xdr:rowOff>
    </xdr:from>
    <xdr:to>
      <xdr:col>10</xdr:col>
      <xdr:colOff>445918</xdr:colOff>
      <xdr:row>111</xdr:row>
      <xdr:rowOff>246895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01533" y="20313650"/>
          <a:ext cx="3007085" cy="180264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63500</xdr:colOff>
      <xdr:row>114</xdr:row>
      <xdr:rowOff>74084</xdr:rowOff>
    </xdr:from>
    <xdr:to>
      <xdr:col>5</xdr:col>
      <xdr:colOff>631334</xdr:colOff>
      <xdr:row>114</xdr:row>
      <xdr:rowOff>1965116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25" y="22848359"/>
          <a:ext cx="3349134" cy="1891032"/>
        </a:xfrm>
        <a:prstGeom prst="rect">
          <a:avLst/>
        </a:prstGeom>
      </xdr:spPr>
    </xdr:pic>
    <xdr:clientData/>
  </xdr:twoCellAnchor>
  <xdr:twoCellAnchor editAs="oneCell">
    <xdr:from>
      <xdr:col>6</xdr:col>
      <xdr:colOff>118248</xdr:colOff>
      <xdr:row>114</xdr:row>
      <xdr:rowOff>75918</xdr:rowOff>
    </xdr:from>
    <xdr:to>
      <xdr:col>10</xdr:col>
      <xdr:colOff>601415</xdr:colOff>
      <xdr:row>114</xdr:row>
      <xdr:rowOff>1966950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3448" y="22850193"/>
          <a:ext cx="3340667" cy="1891032"/>
        </a:xfrm>
        <a:prstGeom prst="rect">
          <a:avLst/>
        </a:prstGeom>
      </xdr:spPr>
    </xdr:pic>
    <xdr:clientData/>
  </xdr:twoCellAnchor>
  <xdr:twoCellAnchor editAs="oneCell">
    <xdr:from>
      <xdr:col>11</xdr:col>
      <xdr:colOff>130666</xdr:colOff>
      <xdr:row>114</xdr:row>
      <xdr:rowOff>77752</xdr:rowOff>
    </xdr:from>
    <xdr:to>
      <xdr:col>15</xdr:col>
      <xdr:colOff>613833</xdr:colOff>
      <xdr:row>114</xdr:row>
      <xdr:rowOff>1968784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7741" y="22852027"/>
          <a:ext cx="3340667" cy="1891032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83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61280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61280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86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66644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66644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86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66167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66167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86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66879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66879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86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66572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66572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86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66842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66842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83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60964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60964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83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60812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60812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83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61751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61751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15062</xdr:rowOff>
    </xdr:from>
    <xdr:to>
      <xdr:col>3</xdr:col>
      <xdr:colOff>400050</xdr:colOff>
      <xdr:row>2</xdr:row>
      <xdr:rowOff>309220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72212"/>
          <a:ext cx="1495425" cy="67515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314325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843441" y="104775"/>
          <a:ext cx="670277" cy="6191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124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2308013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831532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171980</xdr:colOff>
      <xdr:row>140</xdr:row>
      <xdr:rowOff>123031</xdr:rowOff>
    </xdr:from>
    <xdr:to>
      <xdr:col>5</xdr:col>
      <xdr:colOff>431876</xdr:colOff>
      <xdr:row>146</xdr:row>
      <xdr:rowOff>306428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81505" y="26373931"/>
          <a:ext cx="3041196" cy="1802647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427302</xdr:colOff>
      <xdr:row>140</xdr:row>
      <xdr:rowOff>123032</xdr:rowOff>
    </xdr:from>
    <xdr:to>
      <xdr:col>10</xdr:col>
      <xdr:colOff>418137</xdr:colOff>
      <xdr:row>146</xdr:row>
      <xdr:rowOff>306429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932502" y="26373932"/>
          <a:ext cx="3010260" cy="1802647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511969</xdr:colOff>
      <xdr:row>149</xdr:row>
      <xdr:rowOff>23823</xdr:rowOff>
    </xdr:from>
    <xdr:to>
      <xdr:col>4</xdr:col>
      <xdr:colOff>199219</xdr:colOff>
      <xdr:row>149</xdr:row>
      <xdr:rowOff>2003508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669" y="28798848"/>
          <a:ext cx="1116000" cy="1979685"/>
        </a:xfrm>
        <a:prstGeom prst="rect">
          <a:avLst/>
        </a:prstGeom>
      </xdr:spPr>
    </xdr:pic>
    <xdr:clientData/>
  </xdr:twoCellAnchor>
  <xdr:twoCellAnchor editAs="oneCell">
    <xdr:from>
      <xdr:col>11</xdr:col>
      <xdr:colOff>138093</xdr:colOff>
      <xdr:row>149</xdr:row>
      <xdr:rowOff>66657</xdr:rowOff>
    </xdr:from>
    <xdr:to>
      <xdr:col>15</xdr:col>
      <xdr:colOff>593155</xdr:colOff>
      <xdr:row>149</xdr:row>
      <xdr:rowOff>1974304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77093" y="28841682"/>
          <a:ext cx="3379237" cy="1907647"/>
        </a:xfrm>
        <a:prstGeom prst="rect">
          <a:avLst/>
        </a:prstGeom>
      </xdr:spPr>
    </xdr:pic>
    <xdr:clientData/>
  </xdr:twoCellAnchor>
  <xdr:twoCellAnchor editAs="oneCell">
    <xdr:from>
      <xdr:col>6</xdr:col>
      <xdr:colOff>192843</xdr:colOff>
      <xdr:row>149</xdr:row>
      <xdr:rowOff>73781</xdr:rowOff>
    </xdr:from>
    <xdr:to>
      <xdr:col>10</xdr:col>
      <xdr:colOff>552656</xdr:colOff>
      <xdr:row>149</xdr:row>
      <xdr:rowOff>1981429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8043" y="28848806"/>
          <a:ext cx="3379238" cy="1907648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118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2128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2128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121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2665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2665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121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866735" y="22617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866735" y="22617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121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712025" y="22688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712025" y="22688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121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2658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2658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121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389666" y="22684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389666" y="22684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118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2097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2097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118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2082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2082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118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078137" y="22175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078137" y="22175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34112</xdr:rowOff>
    </xdr:from>
    <xdr:to>
      <xdr:col>3</xdr:col>
      <xdr:colOff>400050</xdr:colOff>
      <xdr:row>2</xdr:row>
      <xdr:rowOff>309220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91262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285750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14841" y="104775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8"/>
  <sheetViews>
    <sheetView topLeftCell="A19" zoomScale="85" zoomScaleNormal="85" workbookViewId="0">
      <selection activeCell="H41" sqref="H41"/>
    </sheetView>
  </sheetViews>
  <sheetFormatPr baseColWidth="10" defaultRowHeight="15" x14ac:dyDescent="0.25"/>
  <cols>
    <col min="2" max="2" width="1.28515625" customWidth="1"/>
    <col min="10" max="10" width="1.28515625" customWidth="1"/>
  </cols>
  <sheetData>
    <row r="2" spans="2:10" x14ac:dyDescent="0.25">
      <c r="B2" s="98" t="s">
        <v>38</v>
      </c>
      <c r="C2" s="98"/>
      <c r="D2" s="98"/>
      <c r="E2" s="98"/>
      <c r="F2" s="98"/>
      <c r="G2" s="98"/>
      <c r="H2" s="98"/>
      <c r="I2" s="98"/>
      <c r="J2" s="98"/>
    </row>
    <row r="3" spans="2:10" ht="6.75" customHeight="1" x14ac:dyDescent="0.25">
      <c r="B3" s="99"/>
      <c r="C3" s="100"/>
      <c r="D3" s="100"/>
      <c r="E3" s="100"/>
      <c r="F3" s="100"/>
      <c r="G3" s="100"/>
      <c r="H3" s="100"/>
      <c r="I3" s="100"/>
      <c r="J3" s="101"/>
    </row>
    <row r="4" spans="2:10" x14ac:dyDescent="0.25">
      <c r="B4" s="102"/>
      <c r="C4" s="104"/>
      <c r="D4" s="104"/>
      <c r="E4" s="104"/>
      <c r="F4" s="104"/>
      <c r="G4" s="104"/>
      <c r="H4" s="104"/>
      <c r="I4" s="104"/>
      <c r="J4" s="105"/>
    </row>
    <row r="5" spans="2:10" x14ac:dyDescent="0.25">
      <c r="B5" s="102"/>
      <c r="C5" s="104"/>
      <c r="D5" s="104"/>
      <c r="E5" s="104"/>
      <c r="F5" s="104"/>
      <c r="G5" s="104"/>
      <c r="H5" s="104"/>
      <c r="I5" s="104"/>
      <c r="J5" s="105"/>
    </row>
    <row r="6" spans="2:10" x14ac:dyDescent="0.25">
      <c r="B6" s="102"/>
      <c r="C6" s="104"/>
      <c r="D6" s="104"/>
      <c r="E6" s="104"/>
      <c r="F6" s="104"/>
      <c r="G6" s="104"/>
      <c r="H6" s="104"/>
      <c r="I6" s="104"/>
      <c r="J6" s="105"/>
    </row>
    <row r="7" spans="2:10" x14ac:dyDescent="0.25">
      <c r="B7" s="102"/>
      <c r="C7" s="104"/>
      <c r="D7" s="104"/>
      <c r="E7" s="104"/>
      <c r="F7" s="104"/>
      <c r="G7" s="104"/>
      <c r="H7" s="104"/>
      <c r="I7" s="104"/>
      <c r="J7" s="105"/>
    </row>
    <row r="8" spans="2:10" x14ac:dyDescent="0.25">
      <c r="B8" s="102"/>
      <c r="C8" s="104"/>
      <c r="D8" s="104"/>
      <c r="E8" s="104"/>
      <c r="F8" s="104"/>
      <c r="G8" s="104"/>
      <c r="H8" s="104"/>
      <c r="I8" s="104"/>
      <c r="J8" s="105"/>
    </row>
    <row r="9" spans="2:10" x14ac:dyDescent="0.25">
      <c r="B9" s="102"/>
      <c r="C9" s="104"/>
      <c r="D9" s="104"/>
      <c r="E9" s="104"/>
      <c r="F9" s="104"/>
      <c r="G9" s="104"/>
      <c r="H9" s="104"/>
      <c r="I9" s="104"/>
      <c r="J9" s="105"/>
    </row>
    <row r="10" spans="2:10" x14ac:dyDescent="0.25">
      <c r="B10" s="102"/>
      <c r="C10" s="104"/>
      <c r="D10" s="104"/>
      <c r="E10" s="104"/>
      <c r="F10" s="104"/>
      <c r="G10" s="104"/>
      <c r="H10" s="104"/>
      <c r="I10" s="104"/>
      <c r="J10" s="105"/>
    </row>
    <row r="11" spans="2:10" x14ac:dyDescent="0.25">
      <c r="B11" s="102"/>
      <c r="C11" s="104"/>
      <c r="D11" s="104"/>
      <c r="E11" s="104"/>
      <c r="F11" s="104"/>
      <c r="G11" s="104"/>
      <c r="H11" s="104"/>
      <c r="I11" s="104"/>
      <c r="J11" s="105"/>
    </row>
    <row r="12" spans="2:10" x14ac:dyDescent="0.25">
      <c r="B12" s="102"/>
      <c r="C12" s="104"/>
      <c r="D12" s="104"/>
      <c r="E12" s="104"/>
      <c r="F12" s="104"/>
      <c r="G12" s="104"/>
      <c r="H12" s="104"/>
      <c r="I12" s="104"/>
      <c r="J12" s="105"/>
    </row>
    <row r="13" spans="2:10" x14ac:dyDescent="0.25">
      <c r="B13" s="102"/>
      <c r="C13" s="104"/>
      <c r="D13" s="104"/>
      <c r="E13" s="104"/>
      <c r="F13" s="104"/>
      <c r="G13" s="104"/>
      <c r="H13" s="104"/>
      <c r="I13" s="104"/>
      <c r="J13" s="105"/>
    </row>
    <row r="14" spans="2:10" x14ac:dyDescent="0.25">
      <c r="B14" s="102"/>
      <c r="C14" s="104"/>
      <c r="D14" s="104"/>
      <c r="E14" s="104"/>
      <c r="F14" s="104"/>
      <c r="G14" s="104"/>
      <c r="H14" s="104"/>
      <c r="I14" s="104"/>
      <c r="J14" s="105"/>
    </row>
    <row r="15" spans="2:10" x14ac:dyDescent="0.25">
      <c r="B15" s="102"/>
      <c r="C15" s="104"/>
      <c r="D15" s="104"/>
      <c r="E15" s="104"/>
      <c r="F15" s="104"/>
      <c r="G15" s="104"/>
      <c r="H15" s="104"/>
      <c r="I15" s="104"/>
      <c r="J15" s="105"/>
    </row>
    <row r="16" spans="2:10" x14ac:dyDescent="0.25">
      <c r="B16" s="102"/>
      <c r="C16" s="104"/>
      <c r="D16" s="104"/>
      <c r="E16" s="104"/>
      <c r="F16" s="104"/>
      <c r="G16" s="104"/>
      <c r="H16" s="104"/>
      <c r="I16" s="104"/>
      <c r="J16" s="105"/>
    </row>
    <row r="17" spans="2:10" x14ac:dyDescent="0.25">
      <c r="B17" s="102"/>
      <c r="C17" s="104"/>
      <c r="D17" s="104"/>
      <c r="E17" s="104"/>
      <c r="F17" s="104"/>
      <c r="G17" s="104"/>
      <c r="H17" s="104"/>
      <c r="I17" s="104"/>
      <c r="J17" s="105"/>
    </row>
    <row r="18" spans="2:10" x14ac:dyDescent="0.25">
      <c r="B18" s="102"/>
      <c r="C18" s="104"/>
      <c r="D18" s="104"/>
      <c r="E18" s="104"/>
      <c r="F18" s="104"/>
      <c r="G18" s="104"/>
      <c r="H18" s="104"/>
      <c r="I18" s="104"/>
      <c r="J18" s="105"/>
    </row>
    <row r="19" spans="2:10" x14ac:dyDescent="0.25">
      <c r="B19" s="102"/>
      <c r="C19" s="104"/>
      <c r="D19" s="104"/>
      <c r="E19" s="104"/>
      <c r="F19" s="104"/>
      <c r="G19" s="104"/>
      <c r="H19" s="104"/>
      <c r="I19" s="104"/>
      <c r="J19" s="105"/>
    </row>
    <row r="20" spans="2:10" x14ac:dyDescent="0.25">
      <c r="B20" s="102"/>
      <c r="C20" s="104"/>
      <c r="D20" s="104"/>
      <c r="E20" s="104"/>
      <c r="F20" s="104"/>
      <c r="G20" s="104"/>
      <c r="H20" s="104"/>
      <c r="I20" s="104"/>
      <c r="J20" s="105"/>
    </row>
    <row r="21" spans="2:10" x14ac:dyDescent="0.25">
      <c r="B21" s="102"/>
      <c r="C21" s="104"/>
      <c r="D21" s="104"/>
      <c r="E21" s="104"/>
      <c r="F21" s="104"/>
      <c r="G21" s="104"/>
      <c r="H21" s="104"/>
      <c r="I21" s="104"/>
      <c r="J21" s="105"/>
    </row>
    <row r="22" spans="2:10" x14ac:dyDescent="0.25">
      <c r="B22" s="102"/>
      <c r="C22" s="104"/>
      <c r="D22" s="104"/>
      <c r="E22" s="104"/>
      <c r="F22" s="104"/>
      <c r="G22" s="104"/>
      <c r="H22" s="104"/>
      <c r="I22" s="104"/>
      <c r="J22" s="105"/>
    </row>
    <row r="23" spans="2:10" x14ac:dyDescent="0.25">
      <c r="B23" s="102"/>
      <c r="C23" s="104"/>
      <c r="D23" s="104"/>
      <c r="E23" s="104"/>
      <c r="F23" s="104"/>
      <c r="G23" s="104"/>
      <c r="H23" s="104"/>
      <c r="I23" s="104"/>
      <c r="J23" s="105"/>
    </row>
    <row r="24" spans="2:10" ht="6.75" customHeight="1" x14ac:dyDescent="0.25">
      <c r="B24" s="103"/>
      <c r="C24" s="107"/>
      <c r="D24" s="107"/>
      <c r="E24" s="107"/>
      <c r="F24" s="107"/>
      <c r="G24" s="107"/>
      <c r="H24" s="107"/>
      <c r="I24" s="107"/>
      <c r="J24" s="106"/>
    </row>
    <row r="25" spans="2:10" x14ac:dyDescent="0.25">
      <c r="B25" s="1"/>
      <c r="C25" s="1"/>
      <c r="D25" s="1"/>
      <c r="E25" s="1"/>
      <c r="F25" s="1"/>
      <c r="G25" s="1"/>
      <c r="H25" s="1"/>
      <c r="I25" s="1"/>
    </row>
    <row r="26" spans="2:10" x14ac:dyDescent="0.25">
      <c r="B26" s="98" t="s">
        <v>39</v>
      </c>
      <c r="C26" s="98"/>
      <c r="D26" s="98"/>
      <c r="E26" s="98"/>
      <c r="F26" s="98"/>
      <c r="G26" s="98"/>
      <c r="H26" s="98"/>
      <c r="I26" s="98"/>
      <c r="J26" s="98"/>
    </row>
    <row r="27" spans="2:10" ht="6.75" customHeight="1" x14ac:dyDescent="0.25">
      <c r="B27" s="99"/>
      <c r="C27" s="100"/>
      <c r="D27" s="100"/>
      <c r="E27" s="100"/>
      <c r="F27" s="100"/>
      <c r="G27" s="100"/>
      <c r="H27" s="100"/>
      <c r="I27" s="100"/>
      <c r="J27" s="101"/>
    </row>
    <row r="28" spans="2:10" x14ac:dyDescent="0.25">
      <c r="B28" s="102"/>
      <c r="C28" s="104"/>
      <c r="D28" s="104"/>
      <c r="E28" s="104"/>
      <c r="F28" s="104"/>
      <c r="G28" s="104"/>
      <c r="H28" s="104"/>
      <c r="I28" s="104"/>
      <c r="J28" s="105"/>
    </row>
    <row r="29" spans="2:10" x14ac:dyDescent="0.25">
      <c r="B29" s="102"/>
      <c r="C29" s="104"/>
      <c r="D29" s="104"/>
      <c r="E29" s="104"/>
      <c r="F29" s="104"/>
      <c r="G29" s="104"/>
      <c r="H29" s="104"/>
      <c r="I29" s="104"/>
      <c r="J29" s="105"/>
    </row>
    <row r="30" spans="2:10" x14ac:dyDescent="0.25">
      <c r="B30" s="102"/>
      <c r="C30" s="104"/>
      <c r="D30" s="104"/>
      <c r="E30" s="104"/>
      <c r="F30" s="104"/>
      <c r="G30" s="104"/>
      <c r="H30" s="104"/>
      <c r="I30" s="104"/>
      <c r="J30" s="105"/>
    </row>
    <row r="31" spans="2:10" x14ac:dyDescent="0.25">
      <c r="B31" s="102"/>
      <c r="C31" s="104"/>
      <c r="D31" s="104"/>
      <c r="E31" s="104"/>
      <c r="F31" s="104"/>
      <c r="G31" s="104"/>
      <c r="H31" s="104"/>
      <c r="I31" s="104"/>
      <c r="J31" s="105"/>
    </row>
    <row r="32" spans="2:10" x14ac:dyDescent="0.25">
      <c r="B32" s="102"/>
      <c r="C32" s="104"/>
      <c r="D32" s="104"/>
      <c r="E32" s="104"/>
      <c r="F32" s="104"/>
      <c r="G32" s="104"/>
      <c r="H32" s="104"/>
      <c r="I32" s="104"/>
      <c r="J32" s="105"/>
    </row>
    <row r="33" spans="2:10" x14ac:dyDescent="0.25">
      <c r="B33" s="102"/>
      <c r="C33" s="104"/>
      <c r="D33" s="104"/>
      <c r="E33" s="104"/>
      <c r="F33" s="104"/>
      <c r="G33" s="104"/>
      <c r="H33" s="104"/>
      <c r="I33" s="104"/>
      <c r="J33" s="105"/>
    </row>
    <row r="34" spans="2:10" x14ac:dyDescent="0.25">
      <c r="B34" s="102"/>
      <c r="C34" s="104"/>
      <c r="D34" s="104"/>
      <c r="E34" s="104"/>
      <c r="F34" s="104"/>
      <c r="G34" s="104"/>
      <c r="H34" s="104"/>
      <c r="I34" s="104"/>
      <c r="J34" s="105"/>
    </row>
    <row r="35" spans="2:10" x14ac:dyDescent="0.25">
      <c r="B35" s="102"/>
      <c r="C35" s="104"/>
      <c r="D35" s="104"/>
      <c r="E35" s="104"/>
      <c r="F35" s="104"/>
      <c r="G35" s="104"/>
      <c r="H35" s="104"/>
      <c r="I35" s="104"/>
      <c r="J35" s="105"/>
    </row>
    <row r="36" spans="2:10" x14ac:dyDescent="0.25">
      <c r="B36" s="102"/>
      <c r="C36" s="104"/>
      <c r="D36" s="104"/>
      <c r="E36" s="104"/>
      <c r="F36" s="104"/>
      <c r="G36" s="104"/>
      <c r="H36" s="104"/>
      <c r="I36" s="104"/>
      <c r="J36" s="105"/>
    </row>
    <row r="37" spans="2:10" x14ac:dyDescent="0.25">
      <c r="B37" s="102"/>
      <c r="C37" s="104"/>
      <c r="D37" s="104"/>
      <c r="E37" s="104"/>
      <c r="F37" s="104"/>
      <c r="G37" s="104"/>
      <c r="H37" s="104"/>
      <c r="I37" s="104"/>
      <c r="J37" s="105"/>
    </row>
    <row r="38" spans="2:10" ht="6.75" customHeight="1" x14ac:dyDescent="0.25">
      <c r="B38" s="103"/>
      <c r="C38" s="107"/>
      <c r="D38" s="107"/>
      <c r="E38" s="107"/>
      <c r="F38" s="107"/>
      <c r="G38" s="107"/>
      <c r="H38" s="107"/>
      <c r="I38" s="107"/>
      <c r="J38" s="106"/>
    </row>
  </sheetData>
  <mergeCells count="12">
    <mergeCell ref="B2:J2"/>
    <mergeCell ref="C4:I23"/>
    <mergeCell ref="B3:J3"/>
    <mergeCell ref="B4:B24"/>
    <mergeCell ref="J4:J24"/>
    <mergeCell ref="C24:I24"/>
    <mergeCell ref="B26:J26"/>
    <mergeCell ref="B27:J27"/>
    <mergeCell ref="B28:B38"/>
    <mergeCell ref="C28:I37"/>
    <mergeCell ref="J28:J38"/>
    <mergeCell ref="C38:I3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23"/>
  <sheetViews>
    <sheetView tabSelected="1" view="pageBreakPreview" zoomScaleSheetLayoutView="100" zoomScalePageLayoutView="110" workbookViewId="0">
      <selection activeCell="E2" sqref="E2:N3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4"/>
    </row>
    <row r="2" spans="1:26" s="2" customFormat="1" ht="30" customHeight="1" x14ac:dyDescent="0.25">
      <c r="A2" s="319"/>
      <c r="B2" s="320"/>
      <c r="C2" s="321"/>
      <c r="D2" s="322"/>
      <c r="E2" s="323" t="s">
        <v>121</v>
      </c>
      <c r="F2" s="324"/>
      <c r="G2" s="324"/>
      <c r="H2" s="324"/>
      <c r="I2" s="324"/>
      <c r="J2" s="324"/>
      <c r="K2" s="324"/>
      <c r="L2" s="324"/>
      <c r="M2" s="324"/>
      <c r="N2" s="324"/>
      <c r="O2" s="325"/>
      <c r="P2" s="326"/>
    </row>
    <row r="3" spans="1:26" s="2" customFormat="1" ht="25.5" customHeight="1" thickBot="1" x14ac:dyDescent="0.3">
      <c r="A3" s="319"/>
      <c r="B3" s="327"/>
      <c r="C3" s="328"/>
      <c r="D3" s="329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2"/>
      <c r="P3" s="333"/>
    </row>
    <row r="4" spans="1:26" s="91" customFormat="1" ht="11.25" customHeight="1" thickBot="1" x14ac:dyDescent="0.3">
      <c r="A4" s="15"/>
      <c r="B4" s="294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18" customFormat="1" ht="31.5" customHeight="1" thickBot="1" x14ac:dyDescent="0.3">
      <c r="A5" s="16"/>
      <c r="B5" s="69" t="s">
        <v>0</v>
      </c>
      <c r="C5" s="295">
        <v>43040</v>
      </c>
      <c r="D5" s="296"/>
      <c r="E5" s="70" t="s">
        <v>50</v>
      </c>
      <c r="F5" s="71">
        <v>1</v>
      </c>
      <c r="G5" s="72" t="s">
        <v>1</v>
      </c>
      <c r="H5" s="297" t="s">
        <v>122</v>
      </c>
      <c r="I5" s="298"/>
      <c r="J5" s="298"/>
      <c r="K5" s="298"/>
      <c r="L5" s="298"/>
      <c r="M5" s="298"/>
      <c r="N5" s="298"/>
      <c r="O5" s="298"/>
      <c r="P5" s="299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s="77" customFormat="1" ht="21.75" customHeight="1" thickBot="1" x14ac:dyDescent="0.3">
      <c r="A6" s="73"/>
      <c r="B6" s="278" t="s">
        <v>2</v>
      </c>
      <c r="C6" s="279"/>
      <c r="D6" s="280" t="s">
        <v>107</v>
      </c>
      <c r="E6" s="281"/>
      <c r="F6" s="281"/>
      <c r="G6" s="281"/>
      <c r="H6" s="281"/>
      <c r="I6" s="282"/>
      <c r="J6" s="74" t="s">
        <v>3</v>
      </c>
      <c r="K6" s="283" t="s">
        <v>108</v>
      </c>
      <c r="L6" s="282"/>
      <c r="M6" s="283" t="s">
        <v>109</v>
      </c>
      <c r="N6" s="284"/>
      <c r="O6" s="75" t="s">
        <v>51</v>
      </c>
      <c r="P6" s="76">
        <v>1690</v>
      </c>
    </row>
    <row r="7" spans="1:26" s="18" customFormat="1" ht="21.75" customHeight="1" x14ac:dyDescent="0.25">
      <c r="B7" s="285" t="s">
        <v>52</v>
      </c>
      <c r="C7" s="286" t="s">
        <v>53</v>
      </c>
      <c r="D7" s="256"/>
      <c r="E7" s="78"/>
      <c r="F7" s="287" t="s">
        <v>54</v>
      </c>
      <c r="G7" s="288"/>
      <c r="H7" s="288"/>
      <c r="I7" s="288"/>
      <c r="J7" s="289" t="s">
        <v>55</v>
      </c>
      <c r="K7" s="290"/>
      <c r="L7" s="290"/>
      <c r="M7" s="291"/>
      <c r="N7" s="292" t="s">
        <v>101</v>
      </c>
      <c r="O7" s="293"/>
      <c r="P7" s="79" t="s">
        <v>56</v>
      </c>
    </row>
    <row r="8" spans="1:26" s="18" customFormat="1" ht="21.75" customHeight="1" thickBot="1" x14ac:dyDescent="0.3">
      <c r="B8" s="230"/>
      <c r="C8" s="247" t="s">
        <v>57</v>
      </c>
      <c r="D8" s="246"/>
      <c r="E8" s="80" t="s">
        <v>4</v>
      </c>
      <c r="F8" s="257" t="s">
        <v>5</v>
      </c>
      <c r="G8" s="258"/>
      <c r="H8" s="258"/>
      <c r="I8" s="258"/>
      <c r="J8" s="259"/>
      <c r="K8" s="260"/>
      <c r="L8" s="260"/>
      <c r="M8" s="261"/>
      <c r="N8" s="262"/>
      <c r="O8" s="263"/>
      <c r="P8" s="81"/>
    </row>
    <row r="9" spans="1:26" s="18" customFormat="1" ht="21.75" customHeight="1" x14ac:dyDescent="0.25">
      <c r="B9" s="264" t="s">
        <v>6</v>
      </c>
      <c r="C9" s="267" t="s">
        <v>58</v>
      </c>
      <c r="D9" s="268" t="s">
        <v>59</v>
      </c>
      <c r="E9" s="253"/>
      <c r="F9" s="82"/>
      <c r="G9" s="269" t="s">
        <v>7</v>
      </c>
      <c r="H9" s="270" t="s">
        <v>8</v>
      </c>
      <c r="I9" s="256"/>
      <c r="J9" s="83"/>
      <c r="K9" s="267" t="s">
        <v>60</v>
      </c>
      <c r="L9" s="271" t="s">
        <v>110</v>
      </c>
      <c r="M9" s="272"/>
      <c r="N9" s="273"/>
      <c r="O9" s="273"/>
      <c r="P9" s="274"/>
    </row>
    <row r="10" spans="1:26" s="18" customFormat="1" ht="21.75" customHeight="1" thickBot="1" x14ac:dyDescent="0.3">
      <c r="B10" s="265"/>
      <c r="C10" s="210"/>
      <c r="D10" s="251" t="s">
        <v>61</v>
      </c>
      <c r="E10" s="246"/>
      <c r="F10" s="84" t="s">
        <v>4</v>
      </c>
      <c r="G10" s="210"/>
      <c r="H10" s="251" t="s">
        <v>9</v>
      </c>
      <c r="I10" s="246"/>
      <c r="J10" s="85" t="s">
        <v>4</v>
      </c>
      <c r="K10" s="210"/>
      <c r="L10" s="275"/>
      <c r="M10" s="276"/>
      <c r="N10" s="276"/>
      <c r="O10" s="276"/>
      <c r="P10" s="277"/>
    </row>
    <row r="11" spans="1:26" s="18" customFormat="1" ht="21.75" customHeight="1" x14ac:dyDescent="0.25">
      <c r="A11" s="16"/>
      <c r="B11" s="265"/>
      <c r="C11" s="252" t="s">
        <v>10</v>
      </c>
      <c r="D11" s="253"/>
      <c r="E11" s="86">
        <v>0.4680555555555555</v>
      </c>
      <c r="F11" s="254" t="s">
        <v>11</v>
      </c>
      <c r="G11" s="253"/>
      <c r="H11" s="87">
        <v>1</v>
      </c>
      <c r="I11" s="255" t="s">
        <v>12</v>
      </c>
      <c r="J11" s="256"/>
      <c r="K11" s="87">
        <v>20</v>
      </c>
      <c r="L11" s="252" t="s">
        <v>13</v>
      </c>
      <c r="M11" s="253"/>
      <c r="N11" s="88">
        <v>14</v>
      </c>
      <c r="O11" s="243" t="s">
        <v>62</v>
      </c>
      <c r="P11" s="244"/>
    </row>
    <row r="12" spans="1:26" s="18" customFormat="1" ht="21.75" customHeight="1" thickBot="1" x14ac:dyDescent="0.3">
      <c r="A12" s="16"/>
      <c r="B12" s="266"/>
      <c r="C12" s="245" t="s">
        <v>14</v>
      </c>
      <c r="D12" s="246"/>
      <c r="E12" s="86">
        <v>0.55625000000000002</v>
      </c>
      <c r="F12" s="247" t="s">
        <v>15</v>
      </c>
      <c r="G12" s="246"/>
      <c r="H12" s="87">
        <v>1</v>
      </c>
      <c r="I12" s="248" t="s">
        <v>16</v>
      </c>
      <c r="J12" s="246"/>
      <c r="K12" s="86">
        <v>0.4680555555555555</v>
      </c>
      <c r="L12" s="245" t="s">
        <v>17</v>
      </c>
      <c r="M12" s="246"/>
      <c r="N12" s="89">
        <v>1</v>
      </c>
      <c r="O12" s="249">
        <v>1.4</v>
      </c>
      <c r="P12" s="250"/>
    </row>
    <row r="13" spans="1:26" s="18" customFormat="1" ht="21.75" customHeight="1" x14ac:dyDescent="0.25">
      <c r="A13" s="16"/>
      <c r="B13" s="228" t="s">
        <v>18</v>
      </c>
      <c r="C13" s="231" t="s">
        <v>63</v>
      </c>
      <c r="D13" s="232"/>
      <c r="E13" s="232"/>
      <c r="F13" s="233" t="s">
        <v>64</v>
      </c>
      <c r="G13" s="232"/>
      <c r="H13" s="232"/>
      <c r="I13" s="232"/>
      <c r="J13" s="233" t="s">
        <v>65</v>
      </c>
      <c r="K13" s="232"/>
      <c r="L13" s="232"/>
      <c r="M13" s="232"/>
      <c r="N13" s="234" t="s">
        <v>66</v>
      </c>
      <c r="O13" s="232"/>
      <c r="P13" s="235"/>
      <c r="Q13" s="92"/>
      <c r="R13" s="17"/>
      <c r="S13" s="17"/>
      <c r="T13" s="17"/>
      <c r="U13" s="17"/>
      <c r="V13" s="17"/>
      <c r="W13" s="17"/>
      <c r="X13" s="17"/>
      <c r="Y13" s="17"/>
      <c r="Z13" s="17"/>
    </row>
    <row r="14" spans="1:26" s="18" customFormat="1" ht="21.75" customHeight="1" x14ac:dyDescent="0.25">
      <c r="A14" s="16"/>
      <c r="B14" s="229"/>
      <c r="C14" s="236" t="s">
        <v>67</v>
      </c>
      <c r="D14" s="237"/>
      <c r="E14" s="237"/>
      <c r="F14" s="238" t="s">
        <v>68</v>
      </c>
      <c r="G14" s="237"/>
      <c r="H14" s="237"/>
      <c r="I14" s="237"/>
      <c r="J14" s="239" t="s">
        <v>69</v>
      </c>
      <c r="K14" s="237"/>
      <c r="L14" s="237"/>
      <c r="M14" s="237"/>
      <c r="N14" s="240"/>
      <c r="O14" s="225"/>
      <c r="P14" s="241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s="18" customFormat="1" ht="21.75" customHeight="1" thickBot="1" x14ac:dyDescent="0.3">
      <c r="A15" s="16"/>
      <c r="B15" s="230"/>
      <c r="C15" s="242" t="s">
        <v>70</v>
      </c>
      <c r="D15" s="212"/>
      <c r="E15" s="212"/>
      <c r="F15" s="212" t="s">
        <v>71</v>
      </c>
      <c r="G15" s="213"/>
      <c r="H15" s="213"/>
      <c r="I15" s="213"/>
      <c r="J15" s="212" t="s">
        <v>72</v>
      </c>
      <c r="K15" s="213"/>
      <c r="L15" s="213"/>
      <c r="M15" s="213"/>
      <c r="N15" s="214"/>
      <c r="O15" s="215"/>
      <c r="P15" s="216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s="18" customFormat="1" ht="21.75" customHeight="1" x14ac:dyDescent="0.25">
      <c r="A16" s="16"/>
      <c r="B16" s="217" t="s">
        <v>19</v>
      </c>
      <c r="C16" s="219" t="s">
        <v>20</v>
      </c>
      <c r="D16" s="219" t="s">
        <v>40</v>
      </c>
      <c r="E16" s="221" t="s">
        <v>21</v>
      </c>
      <c r="F16" s="222" t="s">
        <v>41</v>
      </c>
      <c r="G16" s="223"/>
      <c r="H16" s="219" t="s">
        <v>73</v>
      </c>
      <c r="I16" s="226" t="s">
        <v>74</v>
      </c>
      <c r="J16" s="19" t="s">
        <v>42</v>
      </c>
      <c r="K16" s="20"/>
      <c r="L16" s="21" t="s">
        <v>43</v>
      </c>
      <c r="M16" s="21" t="s">
        <v>44</v>
      </c>
      <c r="N16" s="21" t="s">
        <v>44</v>
      </c>
      <c r="O16" s="21" t="s">
        <v>45</v>
      </c>
      <c r="P16" s="22" t="s">
        <v>22</v>
      </c>
    </row>
    <row r="17" spans="1:26" s="18" customFormat="1" ht="21.75" customHeight="1" thickBot="1" x14ac:dyDescent="0.3">
      <c r="A17" s="23"/>
      <c r="B17" s="218"/>
      <c r="C17" s="220"/>
      <c r="D17" s="220"/>
      <c r="E17" s="220"/>
      <c r="F17" s="224"/>
      <c r="G17" s="225"/>
      <c r="H17" s="220"/>
      <c r="I17" s="227"/>
      <c r="J17" s="24" t="s">
        <v>23</v>
      </c>
      <c r="K17" s="25" t="s">
        <v>24</v>
      </c>
      <c r="L17" s="25" t="s">
        <v>46</v>
      </c>
      <c r="M17" s="25" t="s">
        <v>47</v>
      </c>
      <c r="N17" s="25" t="s">
        <v>25</v>
      </c>
      <c r="O17" s="25" t="s">
        <v>26</v>
      </c>
      <c r="P17" s="26" t="s">
        <v>27</v>
      </c>
    </row>
    <row r="18" spans="1:26" s="35" customFormat="1" ht="21.75" customHeight="1" thickBot="1" x14ac:dyDescent="0.3">
      <c r="A18" s="27"/>
      <c r="B18" s="28"/>
      <c r="C18" s="29">
        <f>+O12</f>
        <v>1.4</v>
      </c>
      <c r="D18" s="29">
        <v>7.5999999999999998E-2</v>
      </c>
      <c r="E18" s="30"/>
      <c r="F18" s="31"/>
      <c r="G18" s="97"/>
      <c r="H18" s="32"/>
      <c r="I18" s="33"/>
      <c r="J18" s="96"/>
      <c r="K18" s="30"/>
      <c r="L18" s="30"/>
      <c r="M18" s="30"/>
      <c r="N18" s="30"/>
      <c r="O18" s="30"/>
      <c r="P18" s="34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s="35" customFormat="1" ht="13.5" customHeight="1" x14ac:dyDescent="0.25">
      <c r="A19" s="27"/>
      <c r="B19" s="208">
        <v>1</v>
      </c>
      <c r="C19" s="211">
        <f>+C18+$N$12</f>
        <v>2.4</v>
      </c>
      <c r="D19" s="188">
        <v>0.17899999999999999</v>
      </c>
      <c r="E19" s="188">
        <v>0.19900000000000001</v>
      </c>
      <c r="F19" s="36" t="s">
        <v>75</v>
      </c>
      <c r="G19" s="37">
        <v>0</v>
      </c>
      <c r="H19" s="38"/>
      <c r="I19" s="39"/>
      <c r="J19" s="40">
        <v>6.9000000000000006E-2</v>
      </c>
      <c r="K19" s="188">
        <f>+IF(E19&lt;=0.12,(J21),(IF(E19&lt;0.16,((J20+2*J21+J22)/4),IF(E19&gt;=0.16,((J19+3*J20+2*J21+3*J22+J23)/10)))))</f>
        <v>0.16360000000000002</v>
      </c>
      <c r="L19" s="188">
        <f>ROUND(+(D18+D19)/2*(C19-C18),3)</f>
        <v>0.128</v>
      </c>
      <c r="M19" s="188">
        <f>ROUND(+K19*L19,4)</f>
        <v>2.0899999999999998E-2</v>
      </c>
      <c r="N19" s="191">
        <f>ROUND(+M19/$M$108*100,2)</f>
        <v>0.89</v>
      </c>
      <c r="O19" s="192"/>
      <c r="P19" s="193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s="35" customFormat="1" ht="13.5" customHeight="1" x14ac:dyDescent="0.25">
      <c r="A20" s="27"/>
      <c r="B20" s="209"/>
      <c r="C20" s="189"/>
      <c r="D20" s="189"/>
      <c r="E20" s="189"/>
      <c r="F20" s="41" t="s">
        <v>76</v>
      </c>
      <c r="G20" s="42">
        <f>IF(E19&lt;0.125,"NA",IF(0.125&lt;=E19,(0.2*E19)))</f>
        <v>3.9800000000000002E-2</v>
      </c>
      <c r="H20" s="43"/>
      <c r="I20" s="44"/>
      <c r="J20" s="45">
        <v>0.13200000000000001</v>
      </c>
      <c r="K20" s="189"/>
      <c r="L20" s="189"/>
      <c r="M20" s="189"/>
      <c r="N20" s="189"/>
      <c r="O20" s="189"/>
      <c r="P20" s="194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s="35" customFormat="1" ht="13.5" customHeight="1" x14ac:dyDescent="0.25">
      <c r="A21" s="27"/>
      <c r="B21" s="209"/>
      <c r="C21" s="189"/>
      <c r="D21" s="189"/>
      <c r="E21" s="189"/>
      <c r="F21" s="41" t="s">
        <v>77</v>
      </c>
      <c r="G21" s="42">
        <f>+E19*0.4</f>
        <v>7.9600000000000004E-2</v>
      </c>
      <c r="H21" s="43"/>
      <c r="I21" s="44"/>
      <c r="J21" s="45">
        <v>0.16300000000000001</v>
      </c>
      <c r="K21" s="189"/>
      <c r="L21" s="189"/>
      <c r="M21" s="189"/>
      <c r="N21" s="189"/>
      <c r="O21" s="189"/>
      <c r="P21" s="194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s="35" customFormat="1" ht="13.5" customHeight="1" x14ac:dyDescent="0.25">
      <c r="A22" s="27"/>
      <c r="B22" s="209"/>
      <c r="C22" s="189"/>
      <c r="D22" s="189"/>
      <c r="E22" s="189"/>
      <c r="F22" s="41" t="s">
        <v>78</v>
      </c>
      <c r="G22" s="42">
        <f>IF(E19&lt;0.125,"NA",IF(0.125&lt;=E19,(0.8*E19)))</f>
        <v>0.15920000000000001</v>
      </c>
      <c r="H22" s="43"/>
      <c r="I22" s="44"/>
      <c r="J22" s="45">
        <v>0.20799999999999999</v>
      </c>
      <c r="K22" s="189"/>
      <c r="L22" s="189"/>
      <c r="M22" s="189"/>
      <c r="N22" s="189"/>
      <c r="O22" s="189"/>
      <c r="P22" s="194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s="35" customFormat="1" ht="13.5" customHeight="1" thickBot="1" x14ac:dyDescent="0.3">
      <c r="A23" s="27"/>
      <c r="B23" s="210"/>
      <c r="C23" s="190"/>
      <c r="D23" s="190"/>
      <c r="E23" s="190"/>
      <c r="F23" s="46" t="s">
        <v>79</v>
      </c>
      <c r="G23" s="47">
        <f>+E19</f>
        <v>0.19900000000000001</v>
      </c>
      <c r="H23" s="48"/>
      <c r="I23" s="49"/>
      <c r="J23" s="50">
        <v>0.221</v>
      </c>
      <c r="K23" s="190"/>
      <c r="L23" s="190"/>
      <c r="M23" s="190"/>
      <c r="N23" s="190"/>
      <c r="O23" s="190"/>
      <c r="P23" s="195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s="35" customFormat="1" ht="13.5" customHeight="1" x14ac:dyDescent="0.25">
      <c r="A24" s="27"/>
      <c r="B24" s="208">
        <v>2</v>
      </c>
      <c r="C24" s="211">
        <f>+C19+$N$12</f>
        <v>3.4</v>
      </c>
      <c r="D24" s="188">
        <v>0.17599999999999999</v>
      </c>
      <c r="E24" s="188">
        <v>0.24299999999999999</v>
      </c>
      <c r="F24" s="36" t="s">
        <v>75</v>
      </c>
      <c r="G24" s="37">
        <v>0</v>
      </c>
      <c r="H24" s="38"/>
      <c r="I24" s="39"/>
      <c r="J24" s="40">
        <v>0.24399999999999999</v>
      </c>
      <c r="K24" s="188">
        <f>+IF(E24&lt;=0.12,(J26),(IF(E24&lt;0.16,((J25+2*J26+J27)/4),IF(E24&gt;=0.16,((J24+3*J25+2*J26+3*J27+J28)/10)))))</f>
        <v>0.31100000000000005</v>
      </c>
      <c r="L24" s="188">
        <f>ROUND(+(D19+D24)/2*(C24-C19),3)</f>
        <v>0.17799999999999999</v>
      </c>
      <c r="M24" s="188">
        <f>ROUND(+K24*L24,4)</f>
        <v>5.5399999999999998E-2</v>
      </c>
      <c r="N24" s="191">
        <f>ROUND(+M24/$M$108*100,2)</f>
        <v>2.35</v>
      </c>
      <c r="O24" s="192"/>
      <c r="P24" s="193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s="35" customFormat="1" ht="13.5" customHeight="1" x14ac:dyDescent="0.25">
      <c r="A25" s="27"/>
      <c r="B25" s="209"/>
      <c r="C25" s="189"/>
      <c r="D25" s="189"/>
      <c r="E25" s="189"/>
      <c r="F25" s="41" t="s">
        <v>76</v>
      </c>
      <c r="G25" s="42">
        <f t="shared" ref="G25" si="0">IF(E24&lt;0.125,"NA",IF(0.125&lt;=E24,(0.2*E24)))</f>
        <v>4.8600000000000004E-2</v>
      </c>
      <c r="H25" s="43"/>
      <c r="I25" s="44"/>
      <c r="J25" s="45">
        <v>0.30299999999999999</v>
      </c>
      <c r="K25" s="189"/>
      <c r="L25" s="189"/>
      <c r="M25" s="189"/>
      <c r="N25" s="189"/>
      <c r="O25" s="189"/>
      <c r="P25" s="194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s="35" customFormat="1" ht="13.5" customHeight="1" x14ac:dyDescent="0.25">
      <c r="A26" s="27"/>
      <c r="B26" s="209"/>
      <c r="C26" s="189"/>
      <c r="D26" s="189"/>
      <c r="E26" s="189"/>
      <c r="F26" s="41" t="s">
        <v>77</v>
      </c>
      <c r="G26" s="42">
        <f t="shared" ref="G26" si="1">+E24*0.4</f>
        <v>9.7200000000000009E-2</v>
      </c>
      <c r="H26" s="43"/>
      <c r="I26" s="44"/>
      <c r="J26" s="45">
        <v>0.30399999999999999</v>
      </c>
      <c r="K26" s="189"/>
      <c r="L26" s="189"/>
      <c r="M26" s="189"/>
      <c r="N26" s="189"/>
      <c r="O26" s="189"/>
      <c r="P26" s="194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s="35" customFormat="1" ht="13.5" customHeight="1" x14ac:dyDescent="0.25">
      <c r="A27" s="27"/>
      <c r="B27" s="209"/>
      <c r="C27" s="189"/>
      <c r="D27" s="189"/>
      <c r="E27" s="189"/>
      <c r="F27" s="41" t="s">
        <v>78</v>
      </c>
      <c r="G27" s="42">
        <f t="shared" ref="G27" si="2">IF(E24&lt;0.125,"NA",IF(0.125&lt;=E24,(0.8*E24)))</f>
        <v>0.19440000000000002</v>
      </c>
      <c r="H27" s="43"/>
      <c r="I27" s="44"/>
      <c r="J27" s="45">
        <v>0.34100000000000003</v>
      </c>
      <c r="K27" s="189"/>
      <c r="L27" s="189"/>
      <c r="M27" s="189"/>
      <c r="N27" s="189"/>
      <c r="O27" s="189"/>
      <c r="P27" s="194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s="35" customFormat="1" ht="13.5" customHeight="1" thickBot="1" x14ac:dyDescent="0.3">
      <c r="A28" s="27"/>
      <c r="B28" s="210"/>
      <c r="C28" s="190"/>
      <c r="D28" s="190"/>
      <c r="E28" s="190"/>
      <c r="F28" s="46" t="s">
        <v>79</v>
      </c>
      <c r="G28" s="47">
        <f t="shared" ref="G28" si="3">+E24</f>
        <v>0.24299999999999999</v>
      </c>
      <c r="H28" s="48"/>
      <c r="I28" s="49"/>
      <c r="J28" s="50">
        <v>0.32600000000000001</v>
      </c>
      <c r="K28" s="190"/>
      <c r="L28" s="190"/>
      <c r="M28" s="190"/>
      <c r="N28" s="190"/>
      <c r="O28" s="190"/>
      <c r="P28" s="195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s="35" customFormat="1" ht="13.5" customHeight="1" x14ac:dyDescent="0.25">
      <c r="A29" s="27"/>
      <c r="B29" s="208">
        <v>3</v>
      </c>
      <c r="C29" s="211">
        <f>+C24+$N$12</f>
        <v>4.4000000000000004</v>
      </c>
      <c r="D29" s="188">
        <v>0.28699999999999998</v>
      </c>
      <c r="E29" s="188">
        <v>0.39300000000000002</v>
      </c>
      <c r="F29" s="36" t="s">
        <v>75</v>
      </c>
      <c r="G29" s="37">
        <v>0</v>
      </c>
      <c r="H29" s="38"/>
      <c r="I29" s="39"/>
      <c r="J29" s="40">
        <v>0.29399999999999998</v>
      </c>
      <c r="K29" s="188">
        <f t="shared" ref="K29" si="4">+IF(E29&lt;=0.12,(J31),(IF(E29&lt;0.16,((J30+2*J31+J32)/4),IF(E29&gt;=0.16,((J29+3*J30+2*J31+3*J32+J33)/10)))))</f>
        <v>0.34300000000000003</v>
      </c>
      <c r="L29" s="188">
        <f t="shared" ref="L29" si="5">ROUND(+(D24+D29)/2*(C29-C24),3)</f>
        <v>0.23200000000000001</v>
      </c>
      <c r="M29" s="188">
        <f t="shared" ref="M29" si="6">ROUND(+K29*L29,4)</f>
        <v>7.9600000000000004E-2</v>
      </c>
      <c r="N29" s="191">
        <f t="shared" ref="N29" si="7">ROUND(+M29/$M$108*100,2)</f>
        <v>3.37</v>
      </c>
      <c r="O29" s="192"/>
      <c r="P29" s="193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s="35" customFormat="1" ht="13.5" customHeight="1" x14ac:dyDescent="0.25">
      <c r="A30" s="27"/>
      <c r="B30" s="209"/>
      <c r="C30" s="189"/>
      <c r="D30" s="189"/>
      <c r="E30" s="189"/>
      <c r="F30" s="41" t="s">
        <v>76</v>
      </c>
      <c r="G30" s="42">
        <f t="shared" ref="G30" si="8">IF(E29&lt;0.125,"NA",IF(0.125&lt;=E29,(0.2*E29)))</f>
        <v>7.8600000000000003E-2</v>
      </c>
      <c r="H30" s="43"/>
      <c r="I30" s="44"/>
      <c r="J30" s="45">
        <v>0.31900000000000001</v>
      </c>
      <c r="K30" s="189"/>
      <c r="L30" s="189"/>
      <c r="M30" s="189"/>
      <c r="N30" s="189"/>
      <c r="O30" s="189"/>
      <c r="P30" s="194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s="35" customFormat="1" ht="13.5" customHeight="1" x14ac:dyDescent="0.25">
      <c r="A31" s="27"/>
      <c r="B31" s="209"/>
      <c r="C31" s="189"/>
      <c r="D31" s="189"/>
      <c r="E31" s="189"/>
      <c r="F31" s="41" t="s">
        <v>77</v>
      </c>
      <c r="G31" s="42">
        <f t="shared" ref="G31" si="9">+E29*0.4</f>
        <v>0.15720000000000001</v>
      </c>
      <c r="H31" s="43"/>
      <c r="I31" s="44"/>
      <c r="J31" s="45">
        <v>0.33100000000000002</v>
      </c>
      <c r="K31" s="189"/>
      <c r="L31" s="189"/>
      <c r="M31" s="189"/>
      <c r="N31" s="189"/>
      <c r="O31" s="189"/>
      <c r="P31" s="194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s="35" customFormat="1" ht="13.5" customHeight="1" x14ac:dyDescent="0.25">
      <c r="A32" s="27"/>
      <c r="B32" s="209"/>
      <c r="C32" s="189"/>
      <c r="D32" s="189"/>
      <c r="E32" s="189"/>
      <c r="F32" s="41" t="s">
        <v>78</v>
      </c>
      <c r="G32" s="42">
        <f t="shared" ref="G32" si="10">IF(E29&lt;0.125,"NA",IF(0.125&lt;=E29,(0.8*E29)))</f>
        <v>0.31440000000000001</v>
      </c>
      <c r="H32" s="43"/>
      <c r="I32" s="44"/>
      <c r="J32" s="45">
        <v>0.375</v>
      </c>
      <c r="K32" s="189"/>
      <c r="L32" s="189"/>
      <c r="M32" s="189"/>
      <c r="N32" s="189"/>
      <c r="O32" s="189"/>
      <c r="P32" s="194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s="35" customFormat="1" ht="13.5" customHeight="1" thickBot="1" x14ac:dyDescent="0.3">
      <c r="A33" s="27"/>
      <c r="B33" s="210"/>
      <c r="C33" s="190"/>
      <c r="D33" s="190"/>
      <c r="E33" s="190"/>
      <c r="F33" s="46" t="s">
        <v>79</v>
      </c>
      <c r="G33" s="47">
        <f t="shared" ref="G33" si="11">+E29</f>
        <v>0.39300000000000002</v>
      </c>
      <c r="H33" s="48"/>
      <c r="I33" s="49"/>
      <c r="J33" s="50">
        <v>0.39200000000000002</v>
      </c>
      <c r="K33" s="190"/>
      <c r="L33" s="190"/>
      <c r="M33" s="190"/>
      <c r="N33" s="190"/>
      <c r="O33" s="190"/>
      <c r="P33" s="195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s="35" customFormat="1" ht="13.5" customHeight="1" x14ac:dyDescent="0.25">
      <c r="A34" s="27"/>
      <c r="B34" s="208">
        <v>4</v>
      </c>
      <c r="C34" s="211">
        <f>+C29+$N$12</f>
        <v>5.4</v>
      </c>
      <c r="D34" s="188">
        <v>0.40699999999999997</v>
      </c>
      <c r="E34" s="188">
        <v>0.31</v>
      </c>
      <c r="F34" s="36" t="s">
        <v>75</v>
      </c>
      <c r="G34" s="37">
        <v>0</v>
      </c>
      <c r="H34" s="38"/>
      <c r="I34" s="39"/>
      <c r="J34" s="40">
        <v>0.32200000000000001</v>
      </c>
      <c r="K34" s="188">
        <f t="shared" ref="K34" si="12">+IF(E34&lt;=0.12,(J36),(IF(E34&lt;0.16,((J35+2*J36+J37)/4),IF(E34&gt;=0.16,((J34+3*J35+2*J36+3*J37+J38)/10)))))</f>
        <v>0.40689999999999998</v>
      </c>
      <c r="L34" s="188">
        <f t="shared" ref="L34" si="13">ROUND(+(D29+D34)/2*(C34-C29),3)</f>
        <v>0.34699999999999998</v>
      </c>
      <c r="M34" s="188">
        <f t="shared" ref="M34" si="14">ROUND(+K34*L34,4)</f>
        <v>0.14119999999999999</v>
      </c>
      <c r="N34" s="191">
        <f t="shared" ref="N34" si="15">ROUND(+M34/$M$108*100,2)</f>
        <v>5.98</v>
      </c>
      <c r="O34" s="192"/>
      <c r="P34" s="193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s="35" customFormat="1" ht="13.5" customHeight="1" x14ac:dyDescent="0.25">
      <c r="A35" s="27"/>
      <c r="B35" s="209"/>
      <c r="C35" s="189"/>
      <c r="D35" s="189"/>
      <c r="E35" s="189"/>
      <c r="F35" s="41" t="s">
        <v>76</v>
      </c>
      <c r="G35" s="42">
        <f t="shared" ref="G35" si="16">IF(E34&lt;0.125,"NA",IF(0.125&lt;=E34,(0.2*E34)))</f>
        <v>6.2E-2</v>
      </c>
      <c r="H35" s="43"/>
      <c r="I35" s="44"/>
      <c r="J35" s="45">
        <v>0.32900000000000001</v>
      </c>
      <c r="K35" s="189"/>
      <c r="L35" s="189"/>
      <c r="M35" s="189"/>
      <c r="N35" s="189"/>
      <c r="O35" s="189"/>
      <c r="P35" s="194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s="35" customFormat="1" ht="13.5" customHeight="1" x14ac:dyDescent="0.25">
      <c r="A36" s="27"/>
      <c r="B36" s="209"/>
      <c r="C36" s="189"/>
      <c r="D36" s="189"/>
      <c r="E36" s="189"/>
      <c r="F36" s="41" t="s">
        <v>77</v>
      </c>
      <c r="G36" s="42">
        <f t="shared" ref="G36" si="17">+E34*0.4</f>
        <v>0.124</v>
      </c>
      <c r="H36" s="43"/>
      <c r="I36" s="44"/>
      <c r="J36" s="45">
        <v>0.43099999999999999</v>
      </c>
      <c r="K36" s="189"/>
      <c r="L36" s="189"/>
      <c r="M36" s="189"/>
      <c r="N36" s="189"/>
      <c r="O36" s="189"/>
      <c r="P36" s="194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s="35" customFormat="1" ht="13.5" customHeight="1" x14ac:dyDescent="0.25">
      <c r="A37" s="27"/>
      <c r="B37" s="209"/>
      <c r="C37" s="189"/>
      <c r="D37" s="189"/>
      <c r="E37" s="189"/>
      <c r="F37" s="41" t="s">
        <v>78</v>
      </c>
      <c r="G37" s="42">
        <f t="shared" ref="G37" si="18">IF(E34&lt;0.125,"NA",IF(0.125&lt;=E34,(0.8*E34)))</f>
        <v>0.248</v>
      </c>
      <c r="H37" s="43"/>
      <c r="I37" s="44"/>
      <c r="J37" s="45">
        <v>0.48</v>
      </c>
      <c r="K37" s="189"/>
      <c r="L37" s="189"/>
      <c r="M37" s="189"/>
      <c r="N37" s="189"/>
      <c r="O37" s="189"/>
      <c r="P37" s="194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s="35" customFormat="1" ht="13.5" customHeight="1" thickBot="1" x14ac:dyDescent="0.3">
      <c r="A38" s="27"/>
      <c r="B38" s="210"/>
      <c r="C38" s="190"/>
      <c r="D38" s="190"/>
      <c r="E38" s="190"/>
      <c r="F38" s="46" t="s">
        <v>79</v>
      </c>
      <c r="G38" s="47">
        <f t="shared" ref="G38" si="19">+E34</f>
        <v>0.31</v>
      </c>
      <c r="H38" s="48"/>
      <c r="I38" s="49"/>
      <c r="J38" s="50">
        <v>0.45800000000000002</v>
      </c>
      <c r="K38" s="190"/>
      <c r="L38" s="190"/>
      <c r="M38" s="190"/>
      <c r="N38" s="190"/>
      <c r="O38" s="190"/>
      <c r="P38" s="195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s="35" customFormat="1" ht="13.5" customHeight="1" x14ac:dyDescent="0.25">
      <c r="A39" s="27"/>
      <c r="B39" s="208">
        <v>5</v>
      </c>
      <c r="C39" s="211">
        <f>+C34+$N$12</f>
        <v>6.4</v>
      </c>
      <c r="D39" s="188">
        <v>0.40799999999999997</v>
      </c>
      <c r="E39" s="188">
        <v>0.55500000000000005</v>
      </c>
      <c r="F39" s="36" t="s">
        <v>75</v>
      </c>
      <c r="G39" s="37">
        <v>0</v>
      </c>
      <c r="H39" s="38"/>
      <c r="I39" s="39"/>
      <c r="J39" s="40">
        <v>0.34499999999999997</v>
      </c>
      <c r="K39" s="188">
        <f t="shared" ref="K39" si="20">+IF(E39&lt;=0.12,(J41),(IF(E39&lt;0.16,((J40+2*J41+J42)/4),IF(E39&gt;=0.16,((J39+3*J40+2*J41+3*J42+J43)/10)))))</f>
        <v>0.39889999999999998</v>
      </c>
      <c r="L39" s="188">
        <f t="shared" ref="L39" si="21">ROUND(+(D34+D39)/2*(C39-C34),3)</f>
        <v>0.40799999999999997</v>
      </c>
      <c r="M39" s="188">
        <f t="shared" ref="M39" si="22">ROUND(+K39*L39,4)</f>
        <v>0.1628</v>
      </c>
      <c r="N39" s="191">
        <f t="shared" ref="N39" si="23">ROUND(+M39/$M$108*100,2)</f>
        <v>6.9</v>
      </c>
      <c r="O39" s="192"/>
      <c r="P39" s="193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s="35" customFormat="1" ht="13.5" customHeight="1" x14ac:dyDescent="0.25">
      <c r="A40" s="27"/>
      <c r="B40" s="209"/>
      <c r="C40" s="189"/>
      <c r="D40" s="189"/>
      <c r="E40" s="189"/>
      <c r="F40" s="41" t="s">
        <v>76</v>
      </c>
      <c r="G40" s="42">
        <f t="shared" ref="G40" si="24">IF(E39&lt;0.125,"NA",IF(0.125&lt;=E39,(0.2*E39)))</f>
        <v>0.11100000000000002</v>
      </c>
      <c r="H40" s="43"/>
      <c r="I40" s="44"/>
      <c r="J40" s="45">
        <v>0.36099999999999999</v>
      </c>
      <c r="K40" s="189"/>
      <c r="L40" s="189"/>
      <c r="M40" s="189"/>
      <c r="N40" s="189"/>
      <c r="O40" s="189"/>
      <c r="P40" s="194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s="35" customFormat="1" ht="13.5" customHeight="1" x14ac:dyDescent="0.25">
      <c r="A41" s="27"/>
      <c r="B41" s="209"/>
      <c r="C41" s="189"/>
      <c r="D41" s="189"/>
      <c r="E41" s="189"/>
      <c r="F41" s="41" t="s">
        <v>77</v>
      </c>
      <c r="G41" s="42">
        <f t="shared" ref="G41" si="25">+E39*0.4</f>
        <v>0.22200000000000003</v>
      </c>
      <c r="H41" s="43"/>
      <c r="I41" s="44"/>
      <c r="J41" s="45">
        <v>0.38200000000000001</v>
      </c>
      <c r="K41" s="189"/>
      <c r="L41" s="189"/>
      <c r="M41" s="189"/>
      <c r="N41" s="189"/>
      <c r="O41" s="189"/>
      <c r="P41" s="194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s="35" customFormat="1" ht="13.5" customHeight="1" x14ac:dyDescent="0.25">
      <c r="A42" s="27"/>
      <c r="B42" s="209"/>
      <c r="C42" s="189"/>
      <c r="D42" s="189"/>
      <c r="E42" s="189"/>
      <c r="F42" s="41" t="s">
        <v>78</v>
      </c>
      <c r="G42" s="42">
        <f t="shared" ref="G42" si="26">IF(E39&lt;0.125,"NA",IF(0.125&lt;=E39,(0.8*E39)))</f>
        <v>0.44400000000000006</v>
      </c>
      <c r="H42" s="43"/>
      <c r="I42" s="44"/>
      <c r="J42" s="45">
        <v>0.45200000000000001</v>
      </c>
      <c r="K42" s="189"/>
      <c r="L42" s="189"/>
      <c r="M42" s="189"/>
      <c r="N42" s="189"/>
      <c r="O42" s="189"/>
      <c r="P42" s="194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s="35" customFormat="1" ht="13.5" customHeight="1" thickBot="1" x14ac:dyDescent="0.3">
      <c r="A43" s="27"/>
      <c r="B43" s="210"/>
      <c r="C43" s="190"/>
      <c r="D43" s="190"/>
      <c r="E43" s="190"/>
      <c r="F43" s="46" t="s">
        <v>79</v>
      </c>
      <c r="G43" s="47">
        <f t="shared" ref="G43" si="27">+E39</f>
        <v>0.55500000000000005</v>
      </c>
      <c r="H43" s="48"/>
      <c r="I43" s="49"/>
      <c r="J43" s="50">
        <v>0.441</v>
      </c>
      <c r="K43" s="190"/>
      <c r="L43" s="190"/>
      <c r="M43" s="190"/>
      <c r="N43" s="190"/>
      <c r="O43" s="190"/>
      <c r="P43" s="195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s="35" customFormat="1" ht="13.5" customHeight="1" x14ac:dyDescent="0.25">
      <c r="A44" s="27"/>
      <c r="B44" s="208">
        <v>6</v>
      </c>
      <c r="C44" s="211">
        <f>+C39+$N$12</f>
        <v>7.4</v>
      </c>
      <c r="D44" s="188">
        <v>2.8000000000000001E-2</v>
      </c>
      <c r="E44" s="188">
        <v>0.34899999999999998</v>
      </c>
      <c r="F44" s="36" t="s">
        <v>75</v>
      </c>
      <c r="G44" s="37">
        <v>0</v>
      </c>
      <c r="H44" s="38"/>
      <c r="I44" s="39"/>
      <c r="J44" s="40">
        <v>0.28399999999999997</v>
      </c>
      <c r="K44" s="188">
        <f t="shared" ref="K44" si="28">+IF(E44&lt;=0.12,(J46),(IF(E44&lt;0.16,((J45+2*J46+J47)/4),IF(E44&gt;=0.16,((J44+3*J45+2*J46+3*J47+J48)/10)))))</f>
        <v>0.42820000000000003</v>
      </c>
      <c r="L44" s="188">
        <f t="shared" ref="L44" si="29">ROUND(+(D39+D44)/2*(C44-C39),3)</f>
        <v>0.218</v>
      </c>
      <c r="M44" s="188">
        <f t="shared" ref="M44" si="30">ROUND(+K44*L44,4)</f>
        <v>9.3299999999999994E-2</v>
      </c>
      <c r="N44" s="191">
        <f t="shared" ref="N44" si="31">ROUND(+M44/$M$108*100,2)</f>
        <v>3.95</v>
      </c>
      <c r="O44" s="192"/>
      <c r="P44" s="193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s="35" customFormat="1" ht="13.5" customHeight="1" x14ac:dyDescent="0.25">
      <c r="A45" s="27"/>
      <c r="B45" s="209"/>
      <c r="C45" s="189"/>
      <c r="D45" s="189"/>
      <c r="E45" s="189"/>
      <c r="F45" s="41" t="s">
        <v>76</v>
      </c>
      <c r="G45" s="42">
        <f t="shared" ref="G45" si="32">IF(E44&lt;0.125,"NA",IF(0.125&lt;=E44,(0.2*E44)))</f>
        <v>6.9800000000000001E-2</v>
      </c>
      <c r="H45" s="43"/>
      <c r="I45" s="44"/>
      <c r="J45" s="45">
        <v>0.36299999999999999</v>
      </c>
      <c r="K45" s="189"/>
      <c r="L45" s="189"/>
      <c r="M45" s="189"/>
      <c r="N45" s="189"/>
      <c r="O45" s="189"/>
      <c r="P45" s="194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s="35" customFormat="1" ht="13.5" customHeight="1" x14ac:dyDescent="0.25">
      <c r="A46" s="27"/>
      <c r="B46" s="209"/>
      <c r="C46" s="189"/>
      <c r="D46" s="189"/>
      <c r="E46" s="189"/>
      <c r="F46" s="41" t="s">
        <v>77</v>
      </c>
      <c r="G46" s="42">
        <f t="shared" ref="G46" si="33">+E44*0.4</f>
        <v>0.1396</v>
      </c>
      <c r="H46" s="43"/>
      <c r="I46" s="44"/>
      <c r="J46" s="45">
        <v>0.45500000000000002</v>
      </c>
      <c r="K46" s="189"/>
      <c r="L46" s="189"/>
      <c r="M46" s="189"/>
      <c r="N46" s="189"/>
      <c r="O46" s="189"/>
      <c r="P46" s="194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s="35" customFormat="1" ht="13.5" customHeight="1" x14ac:dyDescent="0.25">
      <c r="A47" s="27"/>
      <c r="B47" s="209"/>
      <c r="C47" s="189"/>
      <c r="D47" s="189"/>
      <c r="E47" s="189"/>
      <c r="F47" s="41" t="s">
        <v>78</v>
      </c>
      <c r="G47" s="42">
        <f t="shared" ref="G47" si="34">IF(E44&lt;0.125,"NA",IF(0.125&lt;=E44,(0.8*E44)))</f>
        <v>0.2792</v>
      </c>
      <c r="H47" s="43"/>
      <c r="I47" s="44"/>
      <c r="J47" s="45">
        <v>0.502</v>
      </c>
      <c r="K47" s="189"/>
      <c r="L47" s="189"/>
      <c r="M47" s="189"/>
      <c r="N47" s="189"/>
      <c r="O47" s="189"/>
      <c r="P47" s="194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s="35" customFormat="1" ht="13.5" customHeight="1" thickBot="1" x14ac:dyDescent="0.3">
      <c r="A48" s="27"/>
      <c r="B48" s="210"/>
      <c r="C48" s="190"/>
      <c r="D48" s="190"/>
      <c r="E48" s="190"/>
      <c r="F48" s="46" t="s">
        <v>79</v>
      </c>
      <c r="G48" s="47">
        <f t="shared" ref="G48" si="35">+E44</f>
        <v>0.34899999999999998</v>
      </c>
      <c r="H48" s="48"/>
      <c r="I48" s="49"/>
      <c r="J48" s="50">
        <v>0.49299999999999999</v>
      </c>
      <c r="K48" s="190"/>
      <c r="L48" s="190"/>
      <c r="M48" s="190"/>
      <c r="N48" s="190"/>
      <c r="O48" s="190"/>
      <c r="P48" s="195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s="35" customFormat="1" ht="13.5" customHeight="1" x14ac:dyDescent="0.25">
      <c r="A49" s="27"/>
      <c r="B49" s="208">
        <v>7</v>
      </c>
      <c r="C49" s="211">
        <f>+C44+$N$12</f>
        <v>8.4</v>
      </c>
      <c r="D49" s="188">
        <v>0.38900000000000001</v>
      </c>
      <c r="E49" s="188">
        <v>0.27100000000000002</v>
      </c>
      <c r="F49" s="36" t="s">
        <v>75</v>
      </c>
      <c r="G49" s="37">
        <v>0</v>
      </c>
      <c r="H49" s="38"/>
      <c r="I49" s="39"/>
      <c r="J49" s="40">
        <v>0.73</v>
      </c>
      <c r="K49" s="188">
        <f t="shared" ref="K49" si="36">+IF(E49&lt;=0.12,(J51),(IF(E49&lt;0.16,((J50+2*J51+J52)/4),IF(E49&gt;=0.16,((J49+3*J50+2*J51+3*J52+J53)/10)))))</f>
        <v>0.87409999999999999</v>
      </c>
      <c r="L49" s="188">
        <f t="shared" ref="L49" si="37">ROUND(+(D44+D49)/2*(C49-C44),3)</f>
        <v>0.20899999999999999</v>
      </c>
      <c r="M49" s="188">
        <f t="shared" ref="M49" si="38">ROUND(+K49*L49,4)</f>
        <v>0.1827</v>
      </c>
      <c r="N49" s="191">
        <f t="shared" ref="N49" si="39">ROUND(+M49/$M$108*100,2)</f>
        <v>7.74</v>
      </c>
      <c r="O49" s="192"/>
      <c r="P49" s="193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s="35" customFormat="1" ht="13.5" customHeight="1" x14ac:dyDescent="0.25">
      <c r="A50" s="27"/>
      <c r="B50" s="209"/>
      <c r="C50" s="189"/>
      <c r="D50" s="189"/>
      <c r="E50" s="189"/>
      <c r="F50" s="41" t="s">
        <v>76</v>
      </c>
      <c r="G50" s="42">
        <f t="shared" ref="G50" si="40">IF(E49&lt;0.125,"NA",IF(0.125&lt;=E49,(0.2*E49)))</f>
        <v>5.4200000000000005E-2</v>
      </c>
      <c r="H50" s="43"/>
      <c r="I50" s="44"/>
      <c r="J50" s="45">
        <v>0.76200000000000001</v>
      </c>
      <c r="K50" s="189"/>
      <c r="L50" s="189"/>
      <c r="M50" s="189"/>
      <c r="N50" s="189"/>
      <c r="O50" s="189"/>
      <c r="P50" s="194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s="35" customFormat="1" ht="13.5" customHeight="1" x14ac:dyDescent="0.25">
      <c r="A51" s="27"/>
      <c r="B51" s="209"/>
      <c r="C51" s="189"/>
      <c r="D51" s="189"/>
      <c r="E51" s="189"/>
      <c r="F51" s="41" t="s">
        <v>77</v>
      </c>
      <c r="G51" s="42">
        <f t="shared" ref="G51" si="41">+E49*0.4</f>
        <v>0.10840000000000001</v>
      </c>
      <c r="H51" s="43"/>
      <c r="I51" s="44"/>
      <c r="J51" s="45">
        <v>1</v>
      </c>
      <c r="K51" s="189"/>
      <c r="L51" s="189"/>
      <c r="M51" s="189"/>
      <c r="N51" s="189"/>
      <c r="O51" s="189"/>
      <c r="P51" s="194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s="35" customFormat="1" ht="13.5" customHeight="1" x14ac:dyDescent="0.25">
      <c r="A52" s="27"/>
      <c r="B52" s="209"/>
      <c r="C52" s="189"/>
      <c r="D52" s="189"/>
      <c r="E52" s="189"/>
      <c r="F52" s="41" t="s">
        <v>78</v>
      </c>
      <c r="G52" s="42">
        <f t="shared" ref="G52" si="42">IF(E49&lt;0.125,"NA",IF(0.125&lt;=E49,(0.8*E49)))</f>
        <v>0.21680000000000002</v>
      </c>
      <c r="H52" s="43"/>
      <c r="I52" s="44"/>
      <c r="J52" s="45">
        <v>0.95499999999999996</v>
      </c>
      <c r="K52" s="189"/>
      <c r="L52" s="189"/>
      <c r="M52" s="189"/>
      <c r="N52" s="189"/>
      <c r="O52" s="189"/>
      <c r="P52" s="194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s="35" customFormat="1" ht="13.5" customHeight="1" thickBot="1" x14ac:dyDescent="0.3">
      <c r="A53" s="27"/>
      <c r="B53" s="210"/>
      <c r="C53" s="190"/>
      <c r="D53" s="190"/>
      <c r="E53" s="190"/>
      <c r="F53" s="46" t="s">
        <v>79</v>
      </c>
      <c r="G53" s="47">
        <f t="shared" ref="G53" si="43">+E49</f>
        <v>0.27100000000000002</v>
      </c>
      <c r="H53" s="48"/>
      <c r="I53" s="49"/>
      <c r="J53" s="50">
        <v>0.86</v>
      </c>
      <c r="K53" s="190"/>
      <c r="L53" s="190"/>
      <c r="M53" s="190"/>
      <c r="N53" s="190"/>
      <c r="O53" s="190"/>
      <c r="P53" s="195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s="35" customFormat="1" ht="13.5" customHeight="1" x14ac:dyDescent="0.25">
      <c r="A54" s="27"/>
      <c r="B54" s="208">
        <v>8</v>
      </c>
      <c r="C54" s="211">
        <f>+C49+$N$12</f>
        <v>9.4</v>
      </c>
      <c r="D54" s="188">
        <v>0.53700000000000003</v>
      </c>
      <c r="E54" s="188">
        <v>0.57699999999999996</v>
      </c>
      <c r="F54" s="36" t="s">
        <v>75</v>
      </c>
      <c r="G54" s="37">
        <v>0</v>
      </c>
      <c r="H54" s="38"/>
      <c r="I54" s="39"/>
      <c r="J54" s="40"/>
      <c r="K54" s="188"/>
      <c r="L54" s="188"/>
      <c r="M54" s="188"/>
      <c r="N54" s="191"/>
      <c r="O54" s="192"/>
      <c r="P54" s="193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s="35" customFormat="1" ht="13.5" customHeight="1" x14ac:dyDescent="0.25">
      <c r="A55" s="27"/>
      <c r="B55" s="209"/>
      <c r="C55" s="189"/>
      <c r="D55" s="189"/>
      <c r="E55" s="189"/>
      <c r="F55" s="41" t="s">
        <v>76</v>
      </c>
      <c r="G55" s="42">
        <f t="shared" ref="G55" si="44">IF(E54&lt;0.125,"NA",IF(0.125&lt;=E54,(0.2*E54)))</f>
        <v>0.1154</v>
      </c>
      <c r="H55" s="43"/>
      <c r="I55" s="44"/>
      <c r="J55" s="45"/>
      <c r="K55" s="189"/>
      <c r="L55" s="189"/>
      <c r="M55" s="189"/>
      <c r="N55" s="189"/>
      <c r="O55" s="189"/>
      <c r="P55" s="194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s="35" customFormat="1" ht="13.5" customHeight="1" x14ac:dyDescent="0.25">
      <c r="A56" s="27"/>
      <c r="B56" s="209"/>
      <c r="C56" s="189"/>
      <c r="D56" s="189"/>
      <c r="E56" s="189"/>
      <c r="F56" s="41" t="s">
        <v>77</v>
      </c>
      <c r="G56" s="42">
        <f t="shared" ref="G56" si="45">+E54*0.4</f>
        <v>0.23080000000000001</v>
      </c>
      <c r="H56" s="43"/>
      <c r="I56" s="44"/>
      <c r="J56" s="45"/>
      <c r="K56" s="189"/>
      <c r="L56" s="189"/>
      <c r="M56" s="189"/>
      <c r="N56" s="189"/>
      <c r="O56" s="189"/>
      <c r="P56" s="194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s="35" customFormat="1" ht="13.5" customHeight="1" x14ac:dyDescent="0.25">
      <c r="A57" s="27"/>
      <c r="B57" s="209"/>
      <c r="C57" s="189"/>
      <c r="D57" s="189"/>
      <c r="E57" s="189"/>
      <c r="F57" s="41" t="s">
        <v>78</v>
      </c>
      <c r="G57" s="42">
        <f t="shared" ref="G57" si="46">IF(E54&lt;0.125,"NA",IF(0.125&lt;=E54,(0.8*E54)))</f>
        <v>0.46160000000000001</v>
      </c>
      <c r="H57" s="43"/>
      <c r="I57" s="44"/>
      <c r="J57" s="45"/>
      <c r="K57" s="189"/>
      <c r="L57" s="189"/>
      <c r="M57" s="189"/>
      <c r="N57" s="189"/>
      <c r="O57" s="189"/>
      <c r="P57" s="194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s="35" customFormat="1" ht="13.5" customHeight="1" thickBot="1" x14ac:dyDescent="0.3">
      <c r="A58" s="27"/>
      <c r="B58" s="210"/>
      <c r="C58" s="190"/>
      <c r="D58" s="190"/>
      <c r="E58" s="190"/>
      <c r="F58" s="46" t="s">
        <v>79</v>
      </c>
      <c r="G58" s="47">
        <f t="shared" ref="G58" si="47">+E54</f>
        <v>0.57699999999999996</v>
      </c>
      <c r="H58" s="48"/>
      <c r="I58" s="49"/>
      <c r="J58" s="50"/>
      <c r="K58" s="190"/>
      <c r="L58" s="190"/>
      <c r="M58" s="190"/>
      <c r="N58" s="190"/>
      <c r="O58" s="190"/>
      <c r="P58" s="195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s="35" customFormat="1" ht="13.5" customHeight="1" x14ac:dyDescent="0.25">
      <c r="A59" s="27"/>
      <c r="B59" s="208">
        <v>9</v>
      </c>
      <c r="C59" s="211">
        <f>+C54+$N$12</f>
        <v>10.4</v>
      </c>
      <c r="D59" s="188">
        <v>0.39100000000000001</v>
      </c>
      <c r="E59" s="188">
        <v>0.54</v>
      </c>
      <c r="F59" s="36" t="s">
        <v>75</v>
      </c>
      <c r="G59" s="37">
        <v>0</v>
      </c>
      <c r="H59" s="38"/>
      <c r="I59" s="39"/>
      <c r="J59" s="40">
        <v>0.123</v>
      </c>
      <c r="K59" s="188">
        <f>+IF(E59&lt;=0.12,(J61),(IF(E59&lt;0.16,((J60+2*J61+J62)/4),IF(E59&gt;=0.16,((J59+3*J60+2*J61+3*J62+J63)/10)))))</f>
        <v>0.54369999999999996</v>
      </c>
      <c r="L59" s="188">
        <f>ROUND(+(D54+D59)/2*(C59-C54),3)</f>
        <v>0.46400000000000002</v>
      </c>
      <c r="M59" s="188">
        <f>ROUND(+K59*L59,4)</f>
        <v>0.25230000000000002</v>
      </c>
      <c r="N59" s="191">
        <f>ROUND(+M59/$M$108*100,2)</f>
        <v>10.69</v>
      </c>
      <c r="O59" s="192"/>
      <c r="P59" s="193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s="35" customFormat="1" ht="13.5" customHeight="1" x14ac:dyDescent="0.25">
      <c r="A60" s="27"/>
      <c r="B60" s="209"/>
      <c r="C60" s="189"/>
      <c r="D60" s="189"/>
      <c r="E60" s="189"/>
      <c r="F60" s="41" t="s">
        <v>76</v>
      </c>
      <c r="G60" s="42">
        <f t="shared" ref="G60" si="48">IF(E59&lt;0.125,"NA",IF(0.125&lt;=E59,(0.2*E59)))</f>
        <v>0.10800000000000001</v>
      </c>
      <c r="H60" s="43"/>
      <c r="I60" s="44"/>
      <c r="J60" s="45">
        <v>0.45800000000000002</v>
      </c>
      <c r="K60" s="189"/>
      <c r="L60" s="189"/>
      <c r="M60" s="189"/>
      <c r="N60" s="189"/>
      <c r="O60" s="189"/>
      <c r="P60" s="194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s="35" customFormat="1" ht="13.5" customHeight="1" x14ac:dyDescent="0.25">
      <c r="A61" s="27"/>
      <c r="B61" s="209"/>
      <c r="C61" s="189"/>
      <c r="D61" s="189"/>
      <c r="E61" s="189"/>
      <c r="F61" s="41" t="s">
        <v>77</v>
      </c>
      <c r="G61" s="42">
        <f t="shared" ref="G61" si="49">+E59*0.4</f>
        <v>0.21600000000000003</v>
      </c>
      <c r="H61" s="43"/>
      <c r="I61" s="44"/>
      <c r="J61" s="45">
        <v>0.69</v>
      </c>
      <c r="K61" s="189"/>
      <c r="L61" s="189"/>
      <c r="M61" s="189"/>
      <c r="N61" s="189"/>
      <c r="O61" s="189"/>
      <c r="P61" s="194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s="35" customFormat="1" ht="13.5" customHeight="1" x14ac:dyDescent="0.25">
      <c r="A62" s="27"/>
      <c r="B62" s="209"/>
      <c r="C62" s="189"/>
      <c r="D62" s="189"/>
      <c r="E62" s="189"/>
      <c r="F62" s="41" t="s">
        <v>78</v>
      </c>
      <c r="G62" s="42">
        <f t="shared" ref="G62" si="50">IF(E59&lt;0.125,"NA",IF(0.125&lt;=E59,(0.8*E59)))</f>
        <v>0.43200000000000005</v>
      </c>
      <c r="H62" s="43"/>
      <c r="I62" s="44"/>
      <c r="J62" s="45">
        <v>0.66200000000000003</v>
      </c>
      <c r="K62" s="189"/>
      <c r="L62" s="189"/>
      <c r="M62" s="189"/>
      <c r="N62" s="189"/>
      <c r="O62" s="189"/>
      <c r="P62" s="194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s="35" customFormat="1" ht="13.5" customHeight="1" thickBot="1" x14ac:dyDescent="0.3">
      <c r="A63" s="27"/>
      <c r="B63" s="210"/>
      <c r="C63" s="190"/>
      <c r="D63" s="190"/>
      <c r="E63" s="190"/>
      <c r="F63" s="46" t="s">
        <v>79</v>
      </c>
      <c r="G63" s="47">
        <f t="shared" ref="G63" si="51">+E59</f>
        <v>0.54</v>
      </c>
      <c r="H63" s="48"/>
      <c r="I63" s="49"/>
      <c r="J63" s="50">
        <v>0.57399999999999995</v>
      </c>
      <c r="K63" s="190"/>
      <c r="L63" s="190"/>
      <c r="M63" s="190"/>
      <c r="N63" s="190"/>
      <c r="O63" s="190"/>
      <c r="P63" s="195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s="35" customFormat="1" ht="13.5" customHeight="1" x14ac:dyDescent="0.25">
      <c r="A64" s="27"/>
      <c r="B64" s="208">
        <v>10</v>
      </c>
      <c r="C64" s="211">
        <f>+C59+$N$12</f>
        <v>11.4</v>
      </c>
      <c r="D64" s="188">
        <v>0.628</v>
      </c>
      <c r="E64" s="188">
        <v>0.443</v>
      </c>
      <c r="F64" s="36" t="s">
        <v>75</v>
      </c>
      <c r="G64" s="37">
        <v>0</v>
      </c>
      <c r="H64" s="38"/>
      <c r="I64" s="39"/>
      <c r="J64" s="40">
        <v>1.0580000000000001</v>
      </c>
      <c r="K64" s="188">
        <f t="shared" ref="K64" si="52">+IF(E64&lt;=0.12,(J66),(IF(E64&lt;0.16,((J65+2*J66+J67)/4),IF(E64&gt;=0.16,((J64+3*J65+2*J66+3*J67+J68)/10)))))</f>
        <v>1.2183999999999999</v>
      </c>
      <c r="L64" s="188">
        <f t="shared" ref="L64" si="53">ROUND(+(D59+D64)/2*(C64-C59),3)</f>
        <v>0.51</v>
      </c>
      <c r="M64" s="188">
        <f t="shared" ref="M64" si="54">ROUND(+K64*L64,4)</f>
        <v>0.62139999999999995</v>
      </c>
      <c r="N64" s="191">
        <f t="shared" ref="N64" si="55">ROUND(+M64/$M$108*100,2)</f>
        <v>26.32</v>
      </c>
      <c r="O64" s="192"/>
      <c r="P64" s="193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s="35" customFormat="1" ht="13.5" customHeight="1" x14ac:dyDescent="0.25">
      <c r="A65" s="27"/>
      <c r="B65" s="209"/>
      <c r="C65" s="189"/>
      <c r="D65" s="189"/>
      <c r="E65" s="189"/>
      <c r="F65" s="41" t="s">
        <v>76</v>
      </c>
      <c r="G65" s="42">
        <f t="shared" ref="G65" si="56">IF(E64&lt;0.125,"NA",IF(0.125&lt;=E64,(0.2*E64)))</f>
        <v>8.8600000000000012E-2</v>
      </c>
      <c r="H65" s="43"/>
      <c r="I65" s="44"/>
      <c r="J65" s="45">
        <v>1.0980000000000001</v>
      </c>
      <c r="K65" s="189"/>
      <c r="L65" s="189"/>
      <c r="M65" s="189"/>
      <c r="N65" s="189"/>
      <c r="O65" s="189"/>
      <c r="P65" s="194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s="35" customFormat="1" ht="13.5" customHeight="1" x14ac:dyDescent="0.25">
      <c r="A66" s="27"/>
      <c r="B66" s="209"/>
      <c r="C66" s="189"/>
      <c r="D66" s="189"/>
      <c r="E66" s="189"/>
      <c r="F66" s="41" t="s">
        <v>77</v>
      </c>
      <c r="G66" s="42">
        <f t="shared" ref="G66" si="57">+E64*0.4</f>
        <v>0.17720000000000002</v>
      </c>
      <c r="H66" s="43"/>
      <c r="I66" s="44"/>
      <c r="J66" s="45">
        <v>1.1870000000000001</v>
      </c>
      <c r="K66" s="189"/>
      <c r="L66" s="189"/>
      <c r="M66" s="189"/>
      <c r="N66" s="189"/>
      <c r="O66" s="189"/>
      <c r="P66" s="194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s="35" customFormat="1" ht="13.5" customHeight="1" x14ac:dyDescent="0.25">
      <c r="A67" s="27"/>
      <c r="B67" s="209"/>
      <c r="C67" s="189"/>
      <c r="D67" s="189"/>
      <c r="E67" s="189"/>
      <c r="F67" s="41" t="s">
        <v>78</v>
      </c>
      <c r="G67" s="42">
        <f t="shared" ref="G67" si="58">IF(E64&lt;0.125,"NA",IF(0.125&lt;=E64,(0.8*E64)))</f>
        <v>0.35440000000000005</v>
      </c>
      <c r="H67" s="43"/>
      <c r="I67" s="44"/>
      <c r="J67" s="45">
        <v>1.4419999999999999</v>
      </c>
      <c r="K67" s="189"/>
      <c r="L67" s="189"/>
      <c r="M67" s="189"/>
      <c r="N67" s="189"/>
      <c r="O67" s="189"/>
      <c r="P67" s="194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s="35" customFormat="1" ht="13.5" customHeight="1" thickBot="1" x14ac:dyDescent="0.3">
      <c r="A68" s="27"/>
      <c r="B68" s="210"/>
      <c r="C68" s="190"/>
      <c r="D68" s="190"/>
      <c r="E68" s="190"/>
      <c r="F68" s="46" t="s">
        <v>79</v>
      </c>
      <c r="G68" s="47">
        <f t="shared" ref="G68" si="59">+E64</f>
        <v>0.443</v>
      </c>
      <c r="H68" s="48"/>
      <c r="I68" s="49"/>
      <c r="J68" s="50">
        <v>1.1319999999999999</v>
      </c>
      <c r="K68" s="190"/>
      <c r="L68" s="190"/>
      <c r="M68" s="190"/>
      <c r="N68" s="190"/>
      <c r="O68" s="190"/>
      <c r="P68" s="195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s="35" customFormat="1" ht="13.5" customHeight="1" x14ac:dyDescent="0.25">
      <c r="A69" s="27"/>
      <c r="B69" s="208">
        <v>11</v>
      </c>
      <c r="C69" s="211">
        <f>+C64+$N$12</f>
        <v>12.4</v>
      </c>
      <c r="D69" s="188">
        <v>0.22800000000000001</v>
      </c>
      <c r="E69" s="188">
        <v>0.57399999999999995</v>
      </c>
      <c r="F69" s="36" t="s">
        <v>75</v>
      </c>
      <c r="G69" s="37">
        <v>0</v>
      </c>
      <c r="H69" s="38"/>
      <c r="I69" s="39"/>
      <c r="J69" s="40">
        <v>0.13900000000000001</v>
      </c>
      <c r="K69" s="188">
        <f t="shared" ref="K69" si="60">+IF(E69&lt;=0.12,(J71),(IF(E69&lt;0.16,((J70+2*J71+J72)/4),IF(E69&gt;=0.16,((J69+3*J70+2*J71+3*J72+J73)/10)))))</f>
        <v>0.4511</v>
      </c>
      <c r="L69" s="188">
        <f t="shared" ref="L69" si="61">ROUND(+(D64+D69)/2*(C69-C64),3)</f>
        <v>0.42799999999999999</v>
      </c>
      <c r="M69" s="188">
        <f t="shared" ref="M69" si="62">ROUND(+K69*L69,4)</f>
        <v>0.19309999999999999</v>
      </c>
      <c r="N69" s="191">
        <f t="shared" ref="N69" si="63">ROUND(+M69/$M$108*100,2)</f>
        <v>8.18</v>
      </c>
      <c r="O69" s="192"/>
      <c r="P69" s="193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s="35" customFormat="1" ht="13.5" customHeight="1" x14ac:dyDescent="0.25">
      <c r="A70" s="27"/>
      <c r="B70" s="209"/>
      <c r="C70" s="189"/>
      <c r="D70" s="189"/>
      <c r="E70" s="189"/>
      <c r="F70" s="41" t="s">
        <v>76</v>
      </c>
      <c r="G70" s="42">
        <f t="shared" ref="G70" si="64">IF(E69&lt;0.125,"NA",IF(0.125&lt;=E69,(0.2*E69)))</f>
        <v>0.1148</v>
      </c>
      <c r="H70" s="43"/>
      <c r="I70" s="44"/>
      <c r="J70" s="45">
        <v>0.182</v>
      </c>
      <c r="K70" s="189"/>
      <c r="L70" s="189"/>
      <c r="M70" s="189"/>
      <c r="N70" s="189"/>
      <c r="O70" s="189"/>
      <c r="P70" s="194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s="35" customFormat="1" ht="13.5" customHeight="1" x14ac:dyDescent="0.25">
      <c r="A71" s="27"/>
      <c r="B71" s="209"/>
      <c r="C71" s="189"/>
      <c r="D71" s="189"/>
      <c r="E71" s="189"/>
      <c r="F71" s="41" t="s">
        <v>77</v>
      </c>
      <c r="G71" s="42">
        <f t="shared" ref="G71" si="65">+E69*0.4</f>
        <v>0.2296</v>
      </c>
      <c r="H71" s="43"/>
      <c r="I71" s="44"/>
      <c r="J71" s="45">
        <v>0.45800000000000002</v>
      </c>
      <c r="K71" s="189"/>
      <c r="L71" s="189"/>
      <c r="M71" s="189"/>
      <c r="N71" s="189"/>
      <c r="O71" s="189"/>
      <c r="P71" s="194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s="35" customFormat="1" ht="13.5" customHeight="1" x14ac:dyDescent="0.25">
      <c r="A72" s="27"/>
      <c r="B72" s="209"/>
      <c r="C72" s="189"/>
      <c r="D72" s="189"/>
      <c r="E72" s="189"/>
      <c r="F72" s="41" t="s">
        <v>78</v>
      </c>
      <c r="G72" s="42">
        <f t="shared" ref="G72" si="66">IF(E69&lt;0.125,"NA",IF(0.125&lt;=E69,(0.8*E69)))</f>
        <v>0.4592</v>
      </c>
      <c r="H72" s="43"/>
      <c r="I72" s="44"/>
      <c r="J72" s="45">
        <v>0.71799999999999997</v>
      </c>
      <c r="K72" s="189"/>
      <c r="L72" s="189"/>
      <c r="M72" s="189"/>
      <c r="N72" s="189"/>
      <c r="O72" s="189"/>
      <c r="P72" s="194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s="35" customFormat="1" ht="13.5" customHeight="1" thickBot="1" x14ac:dyDescent="0.3">
      <c r="A73" s="27"/>
      <c r="B73" s="210"/>
      <c r="C73" s="190"/>
      <c r="D73" s="190"/>
      <c r="E73" s="190"/>
      <c r="F73" s="46" t="s">
        <v>79</v>
      </c>
      <c r="G73" s="47">
        <f t="shared" ref="G73" si="67">+E69</f>
        <v>0.57399999999999995</v>
      </c>
      <c r="H73" s="48"/>
      <c r="I73" s="49"/>
      <c r="J73" s="50">
        <v>0.75600000000000001</v>
      </c>
      <c r="K73" s="190"/>
      <c r="L73" s="190"/>
      <c r="M73" s="190"/>
      <c r="N73" s="190"/>
      <c r="O73" s="190"/>
      <c r="P73" s="195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s="35" customFormat="1" ht="13.5" customHeight="1" x14ac:dyDescent="0.25">
      <c r="A74" s="27"/>
      <c r="B74" s="208">
        <v>12</v>
      </c>
      <c r="C74" s="211">
        <f>+C69+$N$12</f>
        <v>13.4</v>
      </c>
      <c r="D74" s="188">
        <v>0.35599999999999998</v>
      </c>
      <c r="E74" s="188">
        <v>0.14899999999999999</v>
      </c>
      <c r="F74" s="36" t="s">
        <v>75</v>
      </c>
      <c r="G74" s="37">
        <v>0</v>
      </c>
      <c r="H74" s="38"/>
      <c r="I74" s="39"/>
      <c r="J74" s="40">
        <v>0.38</v>
      </c>
      <c r="K74" s="188">
        <f t="shared" ref="K74" si="68">+IF(E74&lt;=0.12,(J76),(IF(E74&lt;0.16,((J75+2*J76+J77)/4),IF(E74&gt;=0.16,((J74+3*J75+2*J76+3*J77+J78)/10)))))</f>
        <v>0.41400000000000003</v>
      </c>
      <c r="L74" s="188">
        <f t="shared" ref="L74" si="69">ROUND(+(D69+D74)/2*(C74-C69),3)</f>
        <v>0.29199999999999998</v>
      </c>
      <c r="M74" s="188">
        <f t="shared" ref="M74" si="70">ROUND(+K74*L74,4)</f>
        <v>0.12089999999999999</v>
      </c>
      <c r="N74" s="191">
        <f t="shared" ref="N74" si="71">ROUND(+M74/$M$108*100,2)</f>
        <v>5.12</v>
      </c>
      <c r="O74" s="192"/>
      <c r="P74" s="193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s="35" customFormat="1" ht="13.5" customHeight="1" x14ac:dyDescent="0.25">
      <c r="A75" s="27"/>
      <c r="B75" s="209"/>
      <c r="C75" s="189"/>
      <c r="D75" s="189"/>
      <c r="E75" s="189"/>
      <c r="F75" s="41" t="s">
        <v>76</v>
      </c>
      <c r="G75" s="42">
        <f t="shared" ref="G75" si="72">IF(E74&lt;0.125,"NA",IF(0.125&lt;=E74,(0.2*E74)))</f>
        <v>2.98E-2</v>
      </c>
      <c r="H75" s="43"/>
      <c r="I75" s="44"/>
      <c r="J75" s="45">
        <v>0.39</v>
      </c>
      <c r="K75" s="189"/>
      <c r="L75" s="189"/>
      <c r="M75" s="189"/>
      <c r="N75" s="189"/>
      <c r="O75" s="189"/>
      <c r="P75" s="194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s="35" customFormat="1" ht="13.5" customHeight="1" x14ac:dyDescent="0.25">
      <c r="A76" s="27"/>
      <c r="B76" s="209"/>
      <c r="C76" s="189"/>
      <c r="D76" s="189"/>
      <c r="E76" s="189"/>
      <c r="F76" s="41" t="s">
        <v>77</v>
      </c>
      <c r="G76" s="42">
        <f t="shared" ref="G76" si="73">+E74*0.4</f>
        <v>5.96E-2</v>
      </c>
      <c r="H76" s="43"/>
      <c r="I76" s="44"/>
      <c r="J76" s="45">
        <v>0.432</v>
      </c>
      <c r="K76" s="189"/>
      <c r="L76" s="189"/>
      <c r="M76" s="189"/>
      <c r="N76" s="189"/>
      <c r="O76" s="189"/>
      <c r="P76" s="194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s="35" customFormat="1" ht="13.5" customHeight="1" x14ac:dyDescent="0.25">
      <c r="A77" s="27"/>
      <c r="B77" s="209"/>
      <c r="C77" s="189"/>
      <c r="D77" s="189"/>
      <c r="E77" s="189"/>
      <c r="F77" s="41" t="s">
        <v>78</v>
      </c>
      <c r="G77" s="42">
        <f t="shared" ref="G77" si="74">IF(E74&lt;0.125,"NA",IF(0.125&lt;=E74,(0.8*E74)))</f>
        <v>0.1192</v>
      </c>
      <c r="H77" s="43"/>
      <c r="I77" s="44"/>
      <c r="J77" s="45">
        <v>0.40200000000000002</v>
      </c>
      <c r="K77" s="189"/>
      <c r="L77" s="189"/>
      <c r="M77" s="189"/>
      <c r="N77" s="189"/>
      <c r="O77" s="189"/>
      <c r="P77" s="194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s="35" customFormat="1" ht="13.5" customHeight="1" thickBot="1" x14ac:dyDescent="0.3">
      <c r="A78" s="27"/>
      <c r="B78" s="210"/>
      <c r="C78" s="190"/>
      <c r="D78" s="190"/>
      <c r="E78" s="190"/>
      <c r="F78" s="46" t="s">
        <v>79</v>
      </c>
      <c r="G78" s="47">
        <f t="shared" ref="G78" si="75">+E74</f>
        <v>0.14899999999999999</v>
      </c>
      <c r="H78" s="48"/>
      <c r="I78" s="49"/>
      <c r="J78" s="50"/>
      <c r="K78" s="190"/>
      <c r="L78" s="190"/>
      <c r="M78" s="190"/>
      <c r="N78" s="190"/>
      <c r="O78" s="190"/>
      <c r="P78" s="195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s="35" customFormat="1" ht="13.5" customHeight="1" x14ac:dyDescent="0.25">
      <c r="A79" s="27"/>
      <c r="B79" s="208">
        <v>13</v>
      </c>
      <c r="C79" s="211">
        <f>+C74+$N$12</f>
        <v>14.4</v>
      </c>
      <c r="D79" s="188">
        <v>0.155</v>
      </c>
      <c r="E79" s="188">
        <v>0.33900000000000002</v>
      </c>
      <c r="F79" s="36" t="s">
        <v>75</v>
      </c>
      <c r="G79" s="37">
        <v>0</v>
      </c>
      <c r="H79" s="38"/>
      <c r="I79" s="39"/>
      <c r="J79" s="40">
        <v>6.7000000000000004E-2</v>
      </c>
      <c r="K79" s="188">
        <f t="shared" ref="K79" si="76">+IF(E79&lt;=0.12,(J81),(IF(E79&lt;0.16,((J80+2*J81+J82)/4),IF(E79&gt;=0.16,((J79+3*J80+2*J81+3*J82+J83)/10)))))</f>
        <v>0.152</v>
      </c>
      <c r="L79" s="188">
        <f t="shared" ref="L79" si="77">ROUND(+(D74+D79)/2*(C79-C74),3)</f>
        <v>0.25600000000000001</v>
      </c>
      <c r="M79" s="188">
        <f t="shared" ref="M79" si="78">ROUND(+K79*L79,4)</f>
        <v>3.8899999999999997E-2</v>
      </c>
      <c r="N79" s="191">
        <f t="shared" ref="N79" si="79">ROUND(+M79/$M$108*100,2)</f>
        <v>1.65</v>
      </c>
      <c r="O79" s="192"/>
      <c r="P79" s="193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s="35" customFormat="1" ht="13.5" customHeight="1" x14ac:dyDescent="0.25">
      <c r="A80" s="27"/>
      <c r="B80" s="209"/>
      <c r="C80" s="189"/>
      <c r="D80" s="189"/>
      <c r="E80" s="189"/>
      <c r="F80" s="41" t="s">
        <v>76</v>
      </c>
      <c r="G80" s="42">
        <f t="shared" ref="G80" si="80">IF(E79&lt;0.125,"NA",IF(0.125&lt;=E79,(0.2*E79)))</f>
        <v>6.7800000000000013E-2</v>
      </c>
      <c r="H80" s="43"/>
      <c r="I80" s="44"/>
      <c r="J80" s="45">
        <v>0.114</v>
      </c>
      <c r="K80" s="189"/>
      <c r="L80" s="189"/>
      <c r="M80" s="189"/>
      <c r="N80" s="189"/>
      <c r="O80" s="189"/>
      <c r="P80" s="194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s="35" customFormat="1" ht="13.5" customHeight="1" x14ac:dyDescent="0.25">
      <c r="A81" s="27"/>
      <c r="B81" s="209"/>
      <c r="C81" s="189"/>
      <c r="D81" s="189"/>
      <c r="E81" s="189"/>
      <c r="F81" s="41" t="s">
        <v>77</v>
      </c>
      <c r="G81" s="42">
        <f t="shared" ref="G81" si="81">+E79*0.4</f>
        <v>0.13560000000000003</v>
      </c>
      <c r="H81" s="43"/>
      <c r="I81" s="44"/>
      <c r="J81" s="45">
        <v>0.13300000000000001</v>
      </c>
      <c r="K81" s="189"/>
      <c r="L81" s="189"/>
      <c r="M81" s="189"/>
      <c r="N81" s="189"/>
      <c r="O81" s="189"/>
      <c r="P81" s="194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s="35" customFormat="1" ht="13.5" customHeight="1" x14ac:dyDescent="0.25">
      <c r="A82" s="27"/>
      <c r="B82" s="209"/>
      <c r="C82" s="189"/>
      <c r="D82" s="189"/>
      <c r="E82" s="189"/>
      <c r="F82" s="41" t="s">
        <v>78</v>
      </c>
      <c r="G82" s="42">
        <f t="shared" ref="G82" si="82">IF(E79&lt;0.125,"NA",IF(0.125&lt;=E79,(0.8*E79)))</f>
        <v>0.27120000000000005</v>
      </c>
      <c r="H82" s="43"/>
      <c r="I82" s="44"/>
      <c r="J82" s="45">
        <v>0.21299999999999999</v>
      </c>
      <c r="K82" s="189"/>
      <c r="L82" s="189"/>
      <c r="M82" s="189"/>
      <c r="N82" s="189"/>
      <c r="O82" s="189"/>
      <c r="P82" s="194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s="35" customFormat="1" ht="13.5" customHeight="1" thickBot="1" x14ac:dyDescent="0.3">
      <c r="A83" s="27"/>
      <c r="B83" s="210"/>
      <c r="C83" s="190"/>
      <c r="D83" s="190"/>
      <c r="E83" s="190"/>
      <c r="F83" s="46" t="s">
        <v>79</v>
      </c>
      <c r="G83" s="47">
        <f t="shared" ref="G83" si="83">+E79</f>
        <v>0.33900000000000002</v>
      </c>
      <c r="H83" s="48"/>
      <c r="I83" s="49"/>
      <c r="J83" s="50">
        <v>0.20599999999999999</v>
      </c>
      <c r="K83" s="190"/>
      <c r="L83" s="190"/>
      <c r="M83" s="190"/>
      <c r="N83" s="190"/>
      <c r="O83" s="190"/>
      <c r="P83" s="195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s="35" customFormat="1" ht="13.5" customHeight="1" x14ac:dyDescent="0.25">
      <c r="A84" s="27"/>
      <c r="B84" s="208">
        <v>14</v>
      </c>
      <c r="C84" s="211">
        <f>+C79+$N$12</f>
        <v>15.4</v>
      </c>
      <c r="D84" s="188">
        <v>0</v>
      </c>
      <c r="E84" s="188">
        <v>5.0000000000000001E-3</v>
      </c>
      <c r="F84" s="36" t="s">
        <v>75</v>
      </c>
      <c r="G84" s="37">
        <v>0</v>
      </c>
      <c r="H84" s="38"/>
      <c r="I84" s="39"/>
      <c r="J84" s="40"/>
      <c r="K84" s="188">
        <f t="shared" ref="K84" si="84">+IF(E84&lt;=0.12,(J86),(IF(E84&lt;0.16,((J85+2*J86+J87)/4),IF(E84&gt;=0.16,((J84+3*J85+2*J86+3*J87+J88)/10)))))</f>
        <v>1.6E-2</v>
      </c>
      <c r="L84" s="188">
        <f t="shared" ref="L84" si="85">ROUND(+(D79+D84)/2*(C84-C79),3)</f>
        <v>7.8E-2</v>
      </c>
      <c r="M84" s="188">
        <f t="shared" ref="M84" si="86">ROUND(+K84*L84,4)</f>
        <v>1.1999999999999999E-3</v>
      </c>
      <c r="N84" s="191">
        <f t="shared" ref="N84" si="87">ROUND(+M84/$M$108*100,2)</f>
        <v>0.05</v>
      </c>
      <c r="O84" s="192"/>
      <c r="P84" s="193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s="35" customFormat="1" ht="13.5" customHeight="1" x14ac:dyDescent="0.25">
      <c r="A85" s="27"/>
      <c r="B85" s="209"/>
      <c r="C85" s="189"/>
      <c r="D85" s="189"/>
      <c r="E85" s="189"/>
      <c r="F85" s="41" t="s">
        <v>76</v>
      </c>
      <c r="G85" s="42" t="str">
        <f t="shared" ref="G85" si="88">IF(E84&lt;0.125,"NA",IF(0.125&lt;=E84,(0.2*E84)))</f>
        <v>NA</v>
      </c>
      <c r="H85" s="43"/>
      <c r="I85" s="44"/>
      <c r="J85" s="45"/>
      <c r="K85" s="189"/>
      <c r="L85" s="189"/>
      <c r="M85" s="189"/>
      <c r="N85" s="189"/>
      <c r="O85" s="189"/>
      <c r="P85" s="194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s="35" customFormat="1" ht="13.5" customHeight="1" x14ac:dyDescent="0.25">
      <c r="A86" s="27"/>
      <c r="B86" s="209"/>
      <c r="C86" s="189"/>
      <c r="D86" s="189"/>
      <c r="E86" s="189"/>
      <c r="F86" s="41" t="s">
        <v>77</v>
      </c>
      <c r="G86" s="42">
        <f t="shared" ref="G86" si="89">+E84*0.4</f>
        <v>2E-3</v>
      </c>
      <c r="H86" s="43"/>
      <c r="I86" s="44"/>
      <c r="J86" s="45">
        <v>1.6E-2</v>
      </c>
      <c r="K86" s="189"/>
      <c r="L86" s="189"/>
      <c r="M86" s="189"/>
      <c r="N86" s="189"/>
      <c r="O86" s="189"/>
      <c r="P86" s="194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s="35" customFormat="1" ht="13.5" customHeight="1" x14ac:dyDescent="0.25">
      <c r="A87" s="27"/>
      <c r="B87" s="209"/>
      <c r="C87" s="189"/>
      <c r="D87" s="189"/>
      <c r="E87" s="189"/>
      <c r="F87" s="41" t="s">
        <v>78</v>
      </c>
      <c r="G87" s="42" t="str">
        <f t="shared" ref="G87" si="90">IF(E84&lt;0.125,"NA",IF(0.125&lt;=E84,(0.8*E84)))</f>
        <v>NA</v>
      </c>
      <c r="H87" s="43"/>
      <c r="I87" s="44"/>
      <c r="J87" s="45"/>
      <c r="K87" s="189"/>
      <c r="L87" s="189"/>
      <c r="M87" s="189"/>
      <c r="N87" s="189"/>
      <c r="O87" s="189"/>
      <c r="P87" s="194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s="35" customFormat="1" ht="13.5" customHeight="1" thickBot="1" x14ac:dyDescent="0.3">
      <c r="A88" s="27"/>
      <c r="B88" s="210"/>
      <c r="C88" s="190"/>
      <c r="D88" s="190"/>
      <c r="E88" s="190"/>
      <c r="F88" s="46" t="s">
        <v>79</v>
      </c>
      <c r="G88" s="47">
        <f t="shared" ref="G88" si="91">+E84</f>
        <v>5.0000000000000001E-3</v>
      </c>
      <c r="H88" s="48"/>
      <c r="I88" s="49"/>
      <c r="J88" s="50"/>
      <c r="K88" s="190"/>
      <c r="L88" s="190"/>
      <c r="M88" s="190"/>
      <c r="N88" s="190"/>
      <c r="O88" s="190"/>
      <c r="P88" s="195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s="3" customFormat="1" ht="13.5" customHeight="1" x14ac:dyDescent="0.2">
      <c r="B89" s="196" t="s">
        <v>28</v>
      </c>
      <c r="C89" s="199"/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1"/>
    </row>
    <row r="90" spans="1:26" s="3" customFormat="1" ht="14.1" customHeight="1" x14ac:dyDescent="0.2">
      <c r="B90" s="197"/>
      <c r="C90" s="202"/>
      <c r="D90" s="203"/>
      <c r="E90" s="203"/>
      <c r="F90" s="203"/>
      <c r="G90" s="203"/>
      <c r="H90" s="203"/>
      <c r="I90" s="203"/>
      <c r="J90" s="203"/>
      <c r="K90" s="203"/>
      <c r="L90" s="203"/>
      <c r="M90" s="203"/>
      <c r="N90" s="203"/>
      <c r="O90" s="203"/>
      <c r="P90" s="204"/>
    </row>
    <row r="91" spans="1:26" s="3" customFormat="1" ht="14.1" customHeight="1" x14ac:dyDescent="0.2">
      <c r="B91" s="197"/>
      <c r="C91" s="202"/>
      <c r="D91" s="203"/>
      <c r="E91" s="203"/>
      <c r="F91" s="203"/>
      <c r="G91" s="203"/>
      <c r="H91" s="203"/>
      <c r="I91" s="203"/>
      <c r="J91" s="203"/>
      <c r="K91" s="203"/>
      <c r="L91" s="203"/>
      <c r="M91" s="203"/>
      <c r="N91" s="203"/>
      <c r="O91" s="203"/>
      <c r="P91" s="204"/>
    </row>
    <row r="92" spans="1:26" s="3" customFormat="1" ht="14.1" customHeight="1" x14ac:dyDescent="0.2">
      <c r="B92" s="197"/>
      <c r="C92" s="202"/>
      <c r="D92" s="203"/>
      <c r="E92" s="203"/>
      <c r="F92" s="203"/>
      <c r="G92" s="203"/>
      <c r="H92" s="203"/>
      <c r="I92" s="203"/>
      <c r="J92" s="203"/>
      <c r="K92" s="203"/>
      <c r="L92" s="203"/>
      <c r="M92" s="203"/>
      <c r="N92" s="203"/>
      <c r="O92" s="203"/>
      <c r="P92" s="204"/>
    </row>
    <row r="93" spans="1:26" s="3" customFormat="1" ht="14.1" customHeight="1" x14ac:dyDescent="0.2">
      <c r="B93" s="197"/>
      <c r="C93" s="202"/>
      <c r="D93" s="203"/>
      <c r="E93" s="203"/>
      <c r="F93" s="203"/>
      <c r="G93" s="203"/>
      <c r="H93" s="203"/>
      <c r="I93" s="203"/>
      <c r="J93" s="203"/>
      <c r="K93" s="203"/>
      <c r="L93" s="203"/>
      <c r="M93" s="203"/>
      <c r="N93" s="203"/>
      <c r="O93" s="203"/>
      <c r="P93" s="204"/>
    </row>
    <row r="94" spans="1:26" s="3" customFormat="1" ht="14.1" customHeight="1" thickBot="1" x14ac:dyDescent="0.25">
      <c r="B94" s="198"/>
      <c r="C94" s="205"/>
      <c r="D94" s="206"/>
      <c r="E94" s="206"/>
      <c r="F94" s="206"/>
      <c r="G94" s="206"/>
      <c r="H94" s="206"/>
      <c r="I94" s="206"/>
      <c r="J94" s="206"/>
      <c r="K94" s="206"/>
      <c r="L94" s="206"/>
      <c r="M94" s="206"/>
      <c r="N94" s="206"/>
      <c r="O94" s="206"/>
      <c r="P94" s="207"/>
    </row>
    <row r="95" spans="1:26" s="3" customFormat="1" ht="28.5" customHeight="1" thickBot="1" x14ac:dyDescent="0.25">
      <c r="A95" s="51"/>
      <c r="B95" s="52" t="s">
        <v>80</v>
      </c>
      <c r="C95" s="175" t="s">
        <v>81</v>
      </c>
      <c r="D95" s="175"/>
      <c r="E95" s="175"/>
      <c r="F95" s="175"/>
      <c r="G95" s="175"/>
      <c r="H95" s="176"/>
      <c r="I95" s="177"/>
      <c r="J95" s="52" t="s">
        <v>82</v>
      </c>
      <c r="K95" s="175" t="s">
        <v>83</v>
      </c>
      <c r="L95" s="175"/>
      <c r="M95" s="175"/>
      <c r="N95" s="175"/>
      <c r="O95" s="175"/>
      <c r="P95" s="176"/>
    </row>
    <row r="96" spans="1:26" s="3" customFormat="1" ht="28.5" customHeight="1" thickBot="1" x14ac:dyDescent="0.25">
      <c r="B96" s="53" t="s">
        <v>84</v>
      </c>
      <c r="C96" s="179" t="s">
        <v>85</v>
      </c>
      <c r="D96" s="179"/>
      <c r="E96" s="179"/>
      <c r="F96" s="179"/>
      <c r="G96" s="179"/>
      <c r="H96" s="180"/>
      <c r="I96" s="178"/>
      <c r="J96" s="53" t="s">
        <v>86</v>
      </c>
      <c r="K96" s="179" t="s">
        <v>87</v>
      </c>
      <c r="L96" s="179"/>
      <c r="M96" s="179"/>
      <c r="N96" s="179"/>
      <c r="O96" s="179"/>
      <c r="P96" s="180"/>
    </row>
    <row r="97" spans="1:26" s="91" customFormat="1" ht="13.5" customHeight="1" x14ac:dyDescent="0.25">
      <c r="A97" s="54"/>
      <c r="B97" s="181">
        <f>+B54</f>
        <v>8</v>
      </c>
      <c r="C97" s="184">
        <f>+C49</f>
        <v>8.4</v>
      </c>
      <c r="D97" s="186">
        <f>+D49</f>
        <v>0.38900000000000001</v>
      </c>
      <c r="E97" s="186">
        <f>+E54</f>
        <v>0.57699999999999996</v>
      </c>
      <c r="F97" s="55" t="s">
        <v>75</v>
      </c>
      <c r="G97" s="55">
        <v>0.01</v>
      </c>
      <c r="H97" s="56"/>
      <c r="I97" s="57"/>
      <c r="J97" s="58">
        <v>0.31</v>
      </c>
      <c r="K97" s="187">
        <f>+AVERAGE(J97:J107)</f>
        <v>0.85809090909090913</v>
      </c>
      <c r="L97" s="166">
        <f>ROUND(+(D97+D102)/2*(C102-C97),3)</f>
        <v>0.46300000000000002</v>
      </c>
      <c r="M97" s="169">
        <f>ROUND(+K97*L97,4)</f>
        <v>0.39729999999999999</v>
      </c>
      <c r="N97" s="166">
        <f>ROUND(+M97/$M$108*100,2)</f>
        <v>16.829999999999998</v>
      </c>
      <c r="O97" s="166"/>
      <c r="P97" s="170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spans="1:26" s="91" customFormat="1" ht="13.5" customHeight="1" x14ac:dyDescent="0.25">
      <c r="A98" s="54"/>
      <c r="B98" s="182"/>
      <c r="C98" s="167"/>
      <c r="D98" s="167"/>
      <c r="E98" s="167"/>
      <c r="F98" s="60" t="s">
        <v>88</v>
      </c>
      <c r="G98" s="61">
        <f>+E97*0.1</f>
        <v>5.7700000000000001E-2</v>
      </c>
      <c r="H98" s="62"/>
      <c r="I98" s="63"/>
      <c r="J98" s="64">
        <v>0.32900000000000001</v>
      </c>
      <c r="K98" s="167"/>
      <c r="L98" s="167"/>
      <c r="M98" s="167"/>
      <c r="N98" s="167"/>
      <c r="O98" s="167"/>
      <c r="P98" s="171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spans="1:26" s="91" customFormat="1" ht="13.5" customHeight="1" x14ac:dyDescent="0.25">
      <c r="A99" s="54"/>
      <c r="B99" s="182"/>
      <c r="C99" s="167"/>
      <c r="D99" s="167"/>
      <c r="E99" s="167"/>
      <c r="F99" s="60" t="s">
        <v>89</v>
      </c>
      <c r="G99" s="61">
        <f>+E97*0.2</f>
        <v>0.1154</v>
      </c>
      <c r="H99" s="62"/>
      <c r="I99" s="63"/>
      <c r="J99" s="64">
        <v>0.52700000000000002</v>
      </c>
      <c r="K99" s="167"/>
      <c r="L99" s="167"/>
      <c r="M99" s="167"/>
      <c r="N99" s="167"/>
      <c r="O99" s="167"/>
      <c r="P99" s="171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spans="1:26" s="91" customFormat="1" ht="13.5" customHeight="1" x14ac:dyDescent="0.25">
      <c r="A100" s="54"/>
      <c r="B100" s="182"/>
      <c r="C100" s="167"/>
      <c r="D100" s="167"/>
      <c r="E100" s="167"/>
      <c r="F100" s="60" t="s">
        <v>90</v>
      </c>
      <c r="G100" s="61">
        <f>+E97*0.3</f>
        <v>0.17309999999999998</v>
      </c>
      <c r="H100" s="62"/>
      <c r="I100" s="63"/>
      <c r="J100" s="64">
        <v>0.91200000000000003</v>
      </c>
      <c r="K100" s="167"/>
      <c r="L100" s="167"/>
      <c r="M100" s="167"/>
      <c r="N100" s="167"/>
      <c r="O100" s="167"/>
      <c r="P100" s="171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spans="1:26" s="91" customFormat="1" ht="13.5" customHeight="1" x14ac:dyDescent="0.25">
      <c r="A101" s="54"/>
      <c r="B101" s="182"/>
      <c r="C101" s="185"/>
      <c r="D101" s="185"/>
      <c r="E101" s="167"/>
      <c r="F101" s="60" t="s">
        <v>91</v>
      </c>
      <c r="G101" s="61">
        <f>+E97*0.4</f>
        <v>0.23080000000000001</v>
      </c>
      <c r="H101" s="62"/>
      <c r="I101" s="63"/>
      <c r="J101" s="64">
        <v>0.95399999999999996</v>
      </c>
      <c r="K101" s="167"/>
      <c r="L101" s="167"/>
      <c r="M101" s="167"/>
      <c r="N101" s="167"/>
      <c r="O101" s="167"/>
      <c r="P101" s="171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spans="1:26" s="91" customFormat="1" ht="13.5" customHeight="1" x14ac:dyDescent="0.25">
      <c r="A102" s="54"/>
      <c r="B102" s="182"/>
      <c r="C102" s="173">
        <f>+C54</f>
        <v>9.4</v>
      </c>
      <c r="D102" s="174">
        <f>+D54</f>
        <v>0.53700000000000003</v>
      </c>
      <c r="E102" s="167"/>
      <c r="F102" s="60" t="s">
        <v>29</v>
      </c>
      <c r="G102" s="61">
        <f>+E97*0.5</f>
        <v>0.28849999999999998</v>
      </c>
      <c r="H102" s="62"/>
      <c r="I102" s="63"/>
      <c r="J102" s="64">
        <v>0.93700000000000006</v>
      </c>
      <c r="K102" s="167"/>
      <c r="L102" s="167"/>
      <c r="M102" s="167"/>
      <c r="N102" s="167"/>
      <c r="O102" s="167"/>
      <c r="P102" s="171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spans="1:26" s="91" customFormat="1" ht="13.5" customHeight="1" x14ac:dyDescent="0.25">
      <c r="A103" s="54"/>
      <c r="B103" s="182"/>
      <c r="C103" s="167"/>
      <c r="D103" s="167"/>
      <c r="E103" s="167"/>
      <c r="F103" s="60" t="s">
        <v>92</v>
      </c>
      <c r="G103" s="61">
        <f>+E97*0.6</f>
        <v>0.34619999999999995</v>
      </c>
      <c r="H103" s="62"/>
      <c r="I103" s="63"/>
      <c r="J103" s="64">
        <v>0.96699999999999997</v>
      </c>
      <c r="K103" s="167"/>
      <c r="L103" s="167"/>
      <c r="M103" s="167"/>
      <c r="N103" s="167"/>
      <c r="O103" s="167"/>
      <c r="P103" s="171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spans="1:26" s="91" customFormat="1" ht="13.5" customHeight="1" x14ac:dyDescent="0.25">
      <c r="A104" s="54"/>
      <c r="B104" s="182"/>
      <c r="C104" s="167"/>
      <c r="D104" s="167"/>
      <c r="E104" s="167"/>
      <c r="F104" s="60" t="s">
        <v>93</v>
      </c>
      <c r="G104" s="61">
        <f>+E97*0.7</f>
        <v>0.40389999999999993</v>
      </c>
      <c r="H104" s="62"/>
      <c r="I104" s="63"/>
      <c r="J104" s="64">
        <v>1.1319999999999999</v>
      </c>
      <c r="K104" s="167"/>
      <c r="L104" s="167"/>
      <c r="M104" s="167"/>
      <c r="N104" s="167"/>
      <c r="O104" s="167"/>
      <c r="P104" s="171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spans="1:26" s="91" customFormat="1" ht="13.5" customHeight="1" x14ac:dyDescent="0.25">
      <c r="A105" s="54"/>
      <c r="B105" s="182"/>
      <c r="C105" s="167"/>
      <c r="D105" s="167"/>
      <c r="E105" s="167"/>
      <c r="F105" s="60" t="s">
        <v>94</v>
      </c>
      <c r="G105" s="61">
        <f>+E97*0.8</f>
        <v>0.46160000000000001</v>
      </c>
      <c r="H105" s="62"/>
      <c r="I105" s="63"/>
      <c r="J105" s="64">
        <v>1.2310000000000001</v>
      </c>
      <c r="K105" s="167"/>
      <c r="L105" s="167"/>
      <c r="M105" s="167"/>
      <c r="N105" s="167"/>
      <c r="O105" s="167"/>
      <c r="P105" s="171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spans="1:26" s="91" customFormat="1" ht="13.5" customHeight="1" x14ac:dyDescent="0.25">
      <c r="A106" s="54"/>
      <c r="B106" s="182"/>
      <c r="C106" s="167"/>
      <c r="D106" s="167"/>
      <c r="E106" s="167"/>
      <c r="F106" s="60" t="s">
        <v>95</v>
      </c>
      <c r="G106" s="61">
        <f>+E97*0.9</f>
        <v>0.51929999999999998</v>
      </c>
      <c r="H106" s="62"/>
      <c r="I106" s="63"/>
      <c r="J106" s="64">
        <v>1.1950000000000001</v>
      </c>
      <c r="K106" s="167"/>
      <c r="L106" s="167"/>
      <c r="M106" s="167"/>
      <c r="N106" s="167"/>
      <c r="O106" s="167"/>
      <c r="P106" s="171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spans="1:26" s="91" customFormat="1" ht="15.75" thickBot="1" x14ac:dyDescent="0.3">
      <c r="A107" s="54"/>
      <c r="B107" s="183"/>
      <c r="C107" s="168"/>
      <c r="D107" s="168"/>
      <c r="E107" s="168"/>
      <c r="F107" s="65" t="s">
        <v>30</v>
      </c>
      <c r="G107" s="65">
        <f>+E97</f>
        <v>0.57699999999999996</v>
      </c>
      <c r="H107" s="66"/>
      <c r="I107" s="67"/>
      <c r="J107" s="68">
        <v>0.94499999999999995</v>
      </c>
      <c r="K107" s="168"/>
      <c r="L107" s="168"/>
      <c r="M107" s="168"/>
      <c r="N107" s="168"/>
      <c r="O107" s="168"/>
      <c r="P107" s="172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spans="1:26" s="3" customFormat="1" ht="12.75" x14ac:dyDescent="0.2">
      <c r="A108" s="8"/>
      <c r="B108" s="154" t="s">
        <v>104</v>
      </c>
      <c r="C108" s="154"/>
      <c r="D108" s="154"/>
      <c r="E108" s="154"/>
      <c r="F108" s="154"/>
      <c r="G108" s="154"/>
      <c r="H108" s="154"/>
      <c r="I108" s="154"/>
      <c r="J108" s="154"/>
      <c r="K108" s="13">
        <f>ROUND(+M108/L108,3)</f>
        <v>0.56100000000000005</v>
      </c>
      <c r="L108" s="12">
        <f>SUM(L19:L107)</f>
        <v>4.2109999999999994</v>
      </c>
      <c r="M108" s="11">
        <f>SUM(M19:M107)</f>
        <v>2.3609999999999998</v>
      </c>
      <c r="N108" s="9">
        <f>ROUND(SUM(N19:N107),0)</f>
        <v>100</v>
      </c>
      <c r="O108" s="156" t="s">
        <v>31</v>
      </c>
      <c r="P108" s="158"/>
    </row>
    <row r="109" spans="1:26" s="3" customFormat="1" ht="15" customHeight="1" thickBot="1" x14ac:dyDescent="0.25">
      <c r="A109" s="8"/>
      <c r="B109" s="155"/>
      <c r="C109" s="155"/>
      <c r="D109" s="155"/>
      <c r="E109" s="155"/>
      <c r="F109" s="155"/>
      <c r="G109" s="155"/>
      <c r="H109" s="155"/>
      <c r="I109" s="155"/>
      <c r="J109" s="155"/>
      <c r="K109" s="10" t="s">
        <v>32</v>
      </c>
      <c r="L109" s="10" t="s">
        <v>48</v>
      </c>
      <c r="M109" s="10" t="s">
        <v>100</v>
      </c>
      <c r="N109" s="10" t="s">
        <v>33</v>
      </c>
      <c r="O109" s="157"/>
      <c r="P109" s="159"/>
    </row>
    <row r="110" spans="1:26" ht="15" customHeight="1" thickBot="1" x14ac:dyDescent="0.3">
      <c r="A110" s="93"/>
      <c r="B110" s="160" t="s">
        <v>96</v>
      </c>
      <c r="C110" s="161"/>
      <c r="D110" s="161"/>
      <c r="E110" s="161"/>
      <c r="F110" s="162"/>
      <c r="G110" s="160" t="s">
        <v>97</v>
      </c>
      <c r="H110" s="161"/>
      <c r="I110" s="161"/>
      <c r="J110" s="161"/>
      <c r="K110" s="162"/>
      <c r="L110" s="163" t="s">
        <v>49</v>
      </c>
      <c r="M110" s="164"/>
      <c r="N110" s="164"/>
      <c r="O110" s="164"/>
      <c r="P110" s="165"/>
    </row>
    <row r="111" spans="1:26" ht="15" customHeight="1" x14ac:dyDescent="0.25">
      <c r="A111" s="93"/>
      <c r="B111" s="124"/>
      <c r="C111" s="125"/>
      <c r="D111" s="125"/>
      <c r="E111" s="125"/>
      <c r="F111" s="126"/>
      <c r="G111" s="124"/>
      <c r="H111" s="125"/>
      <c r="I111" s="125"/>
      <c r="J111" s="125"/>
      <c r="K111" s="126"/>
      <c r="L111" s="133" t="s">
        <v>98</v>
      </c>
      <c r="M111" s="134"/>
      <c r="N111" s="134"/>
      <c r="O111" s="135">
        <f>+AVERAGE(E18:E88)</f>
        <v>0.35335714285714293</v>
      </c>
      <c r="P111" s="136"/>
    </row>
    <row r="112" spans="1:26" ht="15" customHeight="1" thickBot="1" x14ac:dyDescent="0.3">
      <c r="A112" s="93"/>
      <c r="B112" s="127"/>
      <c r="C112" s="128"/>
      <c r="D112" s="128"/>
      <c r="E112" s="128"/>
      <c r="F112" s="129"/>
      <c r="G112" s="127"/>
      <c r="H112" s="128"/>
      <c r="I112" s="128"/>
      <c r="J112" s="128"/>
      <c r="K112" s="129"/>
      <c r="L112" s="137" t="s">
        <v>99</v>
      </c>
      <c r="M112" s="138"/>
      <c r="N112" s="138"/>
      <c r="O112" s="139">
        <f>MAX(E18:E88)</f>
        <v>0.57699999999999996</v>
      </c>
      <c r="P112" s="140"/>
    </row>
    <row r="113" spans="1:16" ht="18.600000000000001" customHeight="1" x14ac:dyDescent="0.25">
      <c r="A113" s="94"/>
      <c r="B113" s="127"/>
      <c r="C113" s="128"/>
      <c r="D113" s="128"/>
      <c r="E113" s="128"/>
      <c r="F113" s="129"/>
      <c r="G113" s="127"/>
      <c r="H113" s="128"/>
      <c r="I113" s="128"/>
      <c r="J113" s="128"/>
      <c r="K113" s="129"/>
      <c r="L113" s="141"/>
      <c r="M113" s="142"/>
      <c r="N113" s="142"/>
      <c r="O113" s="142"/>
      <c r="P113" s="143"/>
    </row>
    <row r="114" spans="1:16" ht="42" customHeight="1" x14ac:dyDescent="0.25">
      <c r="A114" s="95"/>
      <c r="B114" s="127"/>
      <c r="C114" s="128"/>
      <c r="D114" s="128"/>
      <c r="E114" s="128"/>
      <c r="F114" s="129"/>
      <c r="G114" s="127"/>
      <c r="H114" s="128"/>
      <c r="I114" s="128"/>
      <c r="J114" s="128"/>
      <c r="K114" s="129"/>
      <c r="L114" s="144"/>
      <c r="M114" s="145"/>
      <c r="N114" s="145"/>
      <c r="O114" s="145"/>
      <c r="P114" s="146"/>
    </row>
    <row r="115" spans="1:16" ht="15" customHeight="1" thickBot="1" x14ac:dyDescent="0.3">
      <c r="A115" s="93"/>
      <c r="B115" s="127"/>
      <c r="C115" s="128"/>
      <c r="D115" s="128"/>
      <c r="E115" s="128"/>
      <c r="F115" s="129"/>
      <c r="G115" s="127"/>
      <c r="H115" s="128"/>
      <c r="I115" s="128"/>
      <c r="J115" s="128"/>
      <c r="K115" s="129"/>
      <c r="L115" s="147"/>
      <c r="M115" s="148"/>
      <c r="N115" s="148"/>
      <c r="O115" s="148"/>
      <c r="P115" s="149"/>
    </row>
    <row r="116" spans="1:16" ht="22.5" customHeight="1" thickBot="1" x14ac:dyDescent="0.3">
      <c r="A116" s="93"/>
      <c r="B116" s="127"/>
      <c r="C116" s="128"/>
      <c r="D116" s="128"/>
      <c r="E116" s="128"/>
      <c r="F116" s="129"/>
      <c r="G116" s="127"/>
      <c r="H116" s="128"/>
      <c r="I116" s="128"/>
      <c r="J116" s="128"/>
      <c r="K116" s="129"/>
      <c r="L116" s="150" t="s">
        <v>34</v>
      </c>
      <c r="M116" s="151"/>
      <c r="N116" s="151"/>
      <c r="O116" s="151"/>
      <c r="P116" s="90">
        <v>5.54</v>
      </c>
    </row>
    <row r="117" spans="1:16" ht="32.25" customHeight="1" thickBot="1" x14ac:dyDescent="0.3">
      <c r="A117" s="93"/>
      <c r="B117" s="130"/>
      <c r="C117" s="131"/>
      <c r="D117" s="131"/>
      <c r="E117" s="131"/>
      <c r="F117" s="132"/>
      <c r="G117" s="130"/>
      <c r="H117" s="131"/>
      <c r="I117" s="131"/>
      <c r="J117" s="131"/>
      <c r="K117" s="132"/>
      <c r="L117" s="152" t="s">
        <v>103</v>
      </c>
      <c r="M117" s="153"/>
      <c r="N117" s="153"/>
      <c r="O117" s="153"/>
      <c r="P117" s="90" t="s">
        <v>111</v>
      </c>
    </row>
    <row r="118" spans="1:16" ht="23.45" customHeight="1" thickBot="1" x14ac:dyDescent="0.3">
      <c r="A118" s="5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</row>
    <row r="119" spans="1:16" ht="15.75" thickBot="1" x14ac:dyDescent="0.3">
      <c r="A119" s="114" t="s">
        <v>35</v>
      </c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6"/>
    </row>
    <row r="120" spans="1:16" ht="159" customHeight="1" thickBot="1" x14ac:dyDescent="0.3">
      <c r="A120" s="4"/>
      <c r="B120" s="117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9"/>
    </row>
    <row r="121" spans="1:16" ht="21.75" customHeight="1" thickBot="1" x14ac:dyDescent="0.3">
      <c r="A121" s="4"/>
      <c r="B121" s="120" t="s">
        <v>105</v>
      </c>
      <c r="C121" s="121"/>
      <c r="D121" s="121"/>
      <c r="E121" s="121"/>
      <c r="F121" s="122"/>
      <c r="G121" s="120" t="s">
        <v>112</v>
      </c>
      <c r="H121" s="121"/>
      <c r="I121" s="121"/>
      <c r="J121" s="121"/>
      <c r="K121" s="122"/>
      <c r="L121" s="120" t="s">
        <v>106</v>
      </c>
      <c r="M121" s="121"/>
      <c r="N121" s="121"/>
      <c r="O121" s="121"/>
      <c r="P121" s="123"/>
    </row>
    <row r="122" spans="1:16" s="7" customFormat="1" ht="16.899999999999999" customHeight="1" thickBot="1" x14ac:dyDescent="0.3">
      <c r="A122" s="6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9"/>
    </row>
    <row r="123" spans="1:16" s="3" customFormat="1" ht="15.75" customHeight="1" thickBot="1" x14ac:dyDescent="0.25">
      <c r="A123" s="110" t="s">
        <v>36</v>
      </c>
      <c r="B123" s="111"/>
      <c r="C123" s="111"/>
      <c r="D123" s="111"/>
      <c r="E123" s="111"/>
      <c r="F123" s="111"/>
      <c r="G123" s="111"/>
      <c r="H123" s="111"/>
      <c r="I123" s="111"/>
      <c r="J123" s="111" t="s">
        <v>37</v>
      </c>
      <c r="K123" s="111"/>
      <c r="L123" s="111"/>
      <c r="M123" s="111"/>
      <c r="N123" s="111"/>
      <c r="O123" s="111"/>
      <c r="P123" s="112"/>
    </row>
  </sheetData>
  <mergeCells count="243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84:M88"/>
    <mergeCell ref="N84:N88"/>
    <mergeCell ref="O84:O88"/>
    <mergeCell ref="P84:P88"/>
    <mergeCell ref="B89:B94"/>
    <mergeCell ref="C89:P94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C95:H95"/>
    <mergeCell ref="I95:I96"/>
    <mergeCell ref="K95:P95"/>
    <mergeCell ref="C96:H96"/>
    <mergeCell ref="K96:P96"/>
    <mergeCell ref="B97:B107"/>
    <mergeCell ref="C97:C101"/>
    <mergeCell ref="D97:D101"/>
    <mergeCell ref="E97:E107"/>
    <mergeCell ref="K97:K107"/>
    <mergeCell ref="B108:J109"/>
    <mergeCell ref="O108:O109"/>
    <mergeCell ref="P108:P109"/>
    <mergeCell ref="B110:F110"/>
    <mergeCell ref="G110:K110"/>
    <mergeCell ref="L110:P110"/>
    <mergeCell ref="L97:L107"/>
    <mergeCell ref="M97:M107"/>
    <mergeCell ref="N97:N107"/>
    <mergeCell ref="O97:O107"/>
    <mergeCell ref="P97:P107"/>
    <mergeCell ref="C102:C107"/>
    <mergeCell ref="D102:D107"/>
    <mergeCell ref="B111:F117"/>
    <mergeCell ref="G111:K117"/>
    <mergeCell ref="L111:N111"/>
    <mergeCell ref="O111:P111"/>
    <mergeCell ref="L112:N112"/>
    <mergeCell ref="O112:P112"/>
    <mergeCell ref="L113:P115"/>
    <mergeCell ref="L116:O116"/>
    <mergeCell ref="L117:O117"/>
    <mergeCell ref="B122:P122"/>
    <mergeCell ref="A123:C123"/>
    <mergeCell ref="D123:I123"/>
    <mergeCell ref="J123:K123"/>
    <mergeCell ref="L123:P123"/>
    <mergeCell ref="B118:P118"/>
    <mergeCell ref="A119:P119"/>
    <mergeCell ref="B120:P120"/>
    <mergeCell ref="B121:F121"/>
    <mergeCell ref="G121:K121"/>
    <mergeCell ref="L121:P121"/>
  </mergeCells>
  <printOptions horizontalCentered="1"/>
  <pageMargins left="0.35433070866141736" right="0.23622047244094491" top="0.74803149606299213" bottom="0.74803149606299213" header="0.19685039370078741" footer="0.31496062992125984"/>
  <pageSetup scale="58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18"/>
  <sheetViews>
    <sheetView view="pageBreakPreview" zoomScaleSheetLayoutView="10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4"/>
    </row>
    <row r="2" spans="1:26" s="2" customFormat="1" ht="30" customHeight="1" x14ac:dyDescent="0.25">
      <c r="A2" s="319"/>
      <c r="B2" s="320"/>
      <c r="C2" s="321"/>
      <c r="D2" s="322"/>
      <c r="E2" s="323" t="s">
        <v>121</v>
      </c>
      <c r="F2" s="324"/>
      <c r="G2" s="324"/>
      <c r="H2" s="324"/>
      <c r="I2" s="324"/>
      <c r="J2" s="324"/>
      <c r="K2" s="324"/>
      <c r="L2" s="324"/>
      <c r="M2" s="324"/>
      <c r="N2" s="324"/>
      <c r="O2" s="325"/>
      <c r="P2" s="326"/>
    </row>
    <row r="3" spans="1:26" s="2" customFormat="1" ht="25.5" customHeight="1" thickBot="1" x14ac:dyDescent="0.3">
      <c r="A3" s="319"/>
      <c r="B3" s="327"/>
      <c r="C3" s="328"/>
      <c r="D3" s="329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2"/>
      <c r="P3" s="333"/>
    </row>
    <row r="4" spans="1:26" s="91" customFormat="1" ht="11.25" customHeight="1" thickBot="1" x14ac:dyDescent="0.3">
      <c r="A4" s="15"/>
      <c r="B4" s="294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18" customFormat="1" ht="31.5" customHeight="1" thickBot="1" x14ac:dyDescent="0.3">
      <c r="A5" s="16"/>
      <c r="B5" s="69" t="s">
        <v>0</v>
      </c>
      <c r="C5" s="295">
        <v>43074</v>
      </c>
      <c r="D5" s="296"/>
      <c r="E5" s="70" t="s">
        <v>50</v>
      </c>
      <c r="F5" s="71">
        <v>2</v>
      </c>
      <c r="G5" s="72" t="s">
        <v>1</v>
      </c>
      <c r="H5" s="297" t="s">
        <v>122</v>
      </c>
      <c r="I5" s="298"/>
      <c r="J5" s="298"/>
      <c r="K5" s="298"/>
      <c r="L5" s="298"/>
      <c r="M5" s="298"/>
      <c r="N5" s="298"/>
      <c r="O5" s="298"/>
      <c r="P5" s="299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s="77" customFormat="1" ht="21.75" customHeight="1" thickBot="1" x14ac:dyDescent="0.3">
      <c r="A6" s="73"/>
      <c r="B6" s="278" t="s">
        <v>2</v>
      </c>
      <c r="C6" s="279"/>
      <c r="D6" s="280" t="s">
        <v>107</v>
      </c>
      <c r="E6" s="281"/>
      <c r="F6" s="281"/>
      <c r="G6" s="281"/>
      <c r="H6" s="281"/>
      <c r="I6" s="282"/>
      <c r="J6" s="74" t="s">
        <v>3</v>
      </c>
      <c r="K6" s="283" t="s">
        <v>108</v>
      </c>
      <c r="L6" s="282"/>
      <c r="M6" s="283" t="s">
        <v>109</v>
      </c>
      <c r="N6" s="284"/>
      <c r="O6" s="75" t="s">
        <v>51</v>
      </c>
      <c r="P6" s="76">
        <v>1690</v>
      </c>
    </row>
    <row r="7" spans="1:26" s="18" customFormat="1" ht="21.75" customHeight="1" x14ac:dyDescent="0.25">
      <c r="B7" s="285" t="s">
        <v>52</v>
      </c>
      <c r="C7" s="286" t="s">
        <v>53</v>
      </c>
      <c r="D7" s="256"/>
      <c r="E7" s="78"/>
      <c r="F7" s="287" t="s">
        <v>54</v>
      </c>
      <c r="G7" s="288"/>
      <c r="H7" s="288"/>
      <c r="I7" s="288"/>
      <c r="J7" s="289" t="s">
        <v>55</v>
      </c>
      <c r="K7" s="290"/>
      <c r="L7" s="290"/>
      <c r="M7" s="291"/>
      <c r="N7" s="292" t="s">
        <v>101</v>
      </c>
      <c r="O7" s="293"/>
      <c r="P7" s="79" t="s">
        <v>56</v>
      </c>
    </row>
    <row r="8" spans="1:26" s="18" customFormat="1" ht="21.75" customHeight="1" thickBot="1" x14ac:dyDescent="0.3">
      <c r="B8" s="230"/>
      <c r="C8" s="247" t="s">
        <v>57</v>
      </c>
      <c r="D8" s="246"/>
      <c r="E8" s="80" t="s">
        <v>4</v>
      </c>
      <c r="F8" s="257" t="s">
        <v>5</v>
      </c>
      <c r="G8" s="258"/>
      <c r="H8" s="258"/>
      <c r="I8" s="258"/>
      <c r="J8" s="259"/>
      <c r="K8" s="260"/>
      <c r="L8" s="260"/>
      <c r="M8" s="261"/>
      <c r="N8" s="262"/>
      <c r="O8" s="263"/>
      <c r="P8" s="81"/>
    </row>
    <row r="9" spans="1:26" s="18" customFormat="1" ht="21.75" customHeight="1" x14ac:dyDescent="0.25">
      <c r="B9" s="264" t="s">
        <v>6</v>
      </c>
      <c r="C9" s="267" t="s">
        <v>58</v>
      </c>
      <c r="D9" s="268" t="s">
        <v>59</v>
      </c>
      <c r="E9" s="253"/>
      <c r="F9" s="82"/>
      <c r="G9" s="269" t="s">
        <v>7</v>
      </c>
      <c r="H9" s="270" t="s">
        <v>8</v>
      </c>
      <c r="I9" s="256"/>
      <c r="J9" s="83"/>
      <c r="K9" s="267" t="s">
        <v>60</v>
      </c>
      <c r="L9" s="271" t="s">
        <v>102</v>
      </c>
      <c r="M9" s="272"/>
      <c r="N9" s="273"/>
      <c r="O9" s="273"/>
      <c r="P9" s="274"/>
    </row>
    <row r="10" spans="1:26" s="18" customFormat="1" ht="21.75" customHeight="1" thickBot="1" x14ac:dyDescent="0.3">
      <c r="B10" s="265"/>
      <c r="C10" s="210"/>
      <c r="D10" s="251" t="s">
        <v>61</v>
      </c>
      <c r="E10" s="246"/>
      <c r="F10" s="84" t="s">
        <v>113</v>
      </c>
      <c r="G10" s="210"/>
      <c r="H10" s="251" t="s">
        <v>9</v>
      </c>
      <c r="I10" s="246"/>
      <c r="J10" s="85" t="s">
        <v>4</v>
      </c>
      <c r="K10" s="210"/>
      <c r="L10" s="275"/>
      <c r="M10" s="276"/>
      <c r="N10" s="276"/>
      <c r="O10" s="276"/>
      <c r="P10" s="277"/>
    </row>
    <row r="11" spans="1:26" s="18" customFormat="1" ht="21.75" customHeight="1" x14ac:dyDescent="0.25">
      <c r="A11" s="16"/>
      <c r="B11" s="265"/>
      <c r="C11" s="252" t="s">
        <v>10</v>
      </c>
      <c r="D11" s="253"/>
      <c r="E11" s="86">
        <v>0.50347222222222221</v>
      </c>
      <c r="F11" s="254" t="s">
        <v>11</v>
      </c>
      <c r="G11" s="253"/>
      <c r="H11" s="87">
        <v>0.91</v>
      </c>
      <c r="I11" s="255" t="s">
        <v>12</v>
      </c>
      <c r="J11" s="256"/>
      <c r="K11" s="87">
        <v>19</v>
      </c>
      <c r="L11" s="252" t="s">
        <v>13</v>
      </c>
      <c r="M11" s="253"/>
      <c r="N11" s="88">
        <v>13</v>
      </c>
      <c r="O11" s="243" t="s">
        <v>62</v>
      </c>
      <c r="P11" s="244"/>
    </row>
    <row r="12" spans="1:26" s="18" customFormat="1" ht="21.75" customHeight="1" thickBot="1" x14ac:dyDescent="0.3">
      <c r="A12" s="16"/>
      <c r="B12" s="266"/>
      <c r="C12" s="245" t="s">
        <v>14</v>
      </c>
      <c r="D12" s="246"/>
      <c r="E12" s="86">
        <v>0.60763888888888895</v>
      </c>
      <c r="F12" s="247" t="s">
        <v>15</v>
      </c>
      <c r="G12" s="246"/>
      <c r="H12" s="87">
        <v>0.91</v>
      </c>
      <c r="I12" s="248" t="s">
        <v>16</v>
      </c>
      <c r="J12" s="246"/>
      <c r="K12" s="86">
        <v>0.51041666666666663</v>
      </c>
      <c r="L12" s="245" t="s">
        <v>17</v>
      </c>
      <c r="M12" s="246"/>
      <c r="N12" s="89">
        <v>1</v>
      </c>
      <c r="O12" s="249">
        <v>1.91</v>
      </c>
      <c r="P12" s="250"/>
    </row>
    <row r="13" spans="1:26" s="18" customFormat="1" ht="21.75" customHeight="1" x14ac:dyDescent="0.25">
      <c r="A13" s="16"/>
      <c r="B13" s="228" t="s">
        <v>18</v>
      </c>
      <c r="C13" s="231" t="s">
        <v>63</v>
      </c>
      <c r="D13" s="232"/>
      <c r="E13" s="232"/>
      <c r="F13" s="233" t="s">
        <v>64</v>
      </c>
      <c r="G13" s="232"/>
      <c r="H13" s="232"/>
      <c r="I13" s="232"/>
      <c r="J13" s="233" t="s">
        <v>65</v>
      </c>
      <c r="K13" s="232"/>
      <c r="L13" s="232"/>
      <c r="M13" s="232"/>
      <c r="N13" s="234" t="s">
        <v>66</v>
      </c>
      <c r="O13" s="232"/>
      <c r="P13" s="235"/>
      <c r="Q13" s="92"/>
      <c r="R13" s="17"/>
      <c r="S13" s="17"/>
      <c r="T13" s="17"/>
      <c r="U13" s="17"/>
      <c r="V13" s="17"/>
      <c r="W13" s="17"/>
      <c r="X13" s="17"/>
      <c r="Y13" s="17"/>
      <c r="Z13" s="17"/>
    </row>
    <row r="14" spans="1:26" s="18" customFormat="1" ht="21.75" customHeight="1" x14ac:dyDescent="0.25">
      <c r="A14" s="16"/>
      <c r="B14" s="229"/>
      <c r="C14" s="236" t="s">
        <v>67</v>
      </c>
      <c r="D14" s="237"/>
      <c r="E14" s="237"/>
      <c r="F14" s="238" t="s">
        <v>68</v>
      </c>
      <c r="G14" s="237"/>
      <c r="H14" s="237"/>
      <c r="I14" s="237"/>
      <c r="J14" s="239" t="s">
        <v>69</v>
      </c>
      <c r="K14" s="237"/>
      <c r="L14" s="237"/>
      <c r="M14" s="237"/>
      <c r="N14" s="240"/>
      <c r="O14" s="225"/>
      <c r="P14" s="241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s="18" customFormat="1" ht="21.75" customHeight="1" thickBot="1" x14ac:dyDescent="0.3">
      <c r="A15" s="16"/>
      <c r="B15" s="230"/>
      <c r="C15" s="242" t="s">
        <v>70</v>
      </c>
      <c r="D15" s="212"/>
      <c r="E15" s="212"/>
      <c r="F15" s="212" t="s">
        <v>71</v>
      </c>
      <c r="G15" s="213"/>
      <c r="H15" s="213"/>
      <c r="I15" s="213"/>
      <c r="J15" s="212" t="s">
        <v>72</v>
      </c>
      <c r="K15" s="213"/>
      <c r="L15" s="213"/>
      <c r="M15" s="213"/>
      <c r="N15" s="214"/>
      <c r="O15" s="215"/>
      <c r="P15" s="216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s="18" customFormat="1" ht="21.75" customHeight="1" x14ac:dyDescent="0.25">
      <c r="A16" s="16"/>
      <c r="B16" s="217" t="s">
        <v>19</v>
      </c>
      <c r="C16" s="219" t="s">
        <v>20</v>
      </c>
      <c r="D16" s="219" t="s">
        <v>40</v>
      </c>
      <c r="E16" s="221" t="s">
        <v>21</v>
      </c>
      <c r="F16" s="222" t="s">
        <v>41</v>
      </c>
      <c r="G16" s="223"/>
      <c r="H16" s="219" t="s">
        <v>73</v>
      </c>
      <c r="I16" s="226" t="s">
        <v>74</v>
      </c>
      <c r="J16" s="19" t="s">
        <v>42</v>
      </c>
      <c r="K16" s="20"/>
      <c r="L16" s="21" t="s">
        <v>43</v>
      </c>
      <c r="M16" s="21" t="s">
        <v>44</v>
      </c>
      <c r="N16" s="21" t="s">
        <v>44</v>
      </c>
      <c r="O16" s="21" t="s">
        <v>45</v>
      </c>
      <c r="P16" s="22" t="s">
        <v>22</v>
      </c>
    </row>
    <row r="17" spans="1:26" s="18" customFormat="1" ht="21.75" customHeight="1" thickBot="1" x14ac:dyDescent="0.3">
      <c r="A17" s="23"/>
      <c r="B17" s="218"/>
      <c r="C17" s="220"/>
      <c r="D17" s="220"/>
      <c r="E17" s="220"/>
      <c r="F17" s="224"/>
      <c r="G17" s="225"/>
      <c r="H17" s="220"/>
      <c r="I17" s="227"/>
      <c r="J17" s="24" t="s">
        <v>23</v>
      </c>
      <c r="K17" s="25" t="s">
        <v>24</v>
      </c>
      <c r="L17" s="25" t="s">
        <v>46</v>
      </c>
      <c r="M17" s="25" t="s">
        <v>47</v>
      </c>
      <c r="N17" s="25" t="s">
        <v>25</v>
      </c>
      <c r="O17" s="25" t="s">
        <v>26</v>
      </c>
      <c r="P17" s="26" t="s">
        <v>27</v>
      </c>
    </row>
    <row r="18" spans="1:26" s="35" customFormat="1" ht="21.75" customHeight="1" thickBot="1" x14ac:dyDescent="0.3">
      <c r="A18" s="27"/>
      <c r="B18" s="28"/>
      <c r="C18" s="29">
        <f>+O12</f>
        <v>1.91</v>
      </c>
      <c r="D18" s="29">
        <v>0.09</v>
      </c>
      <c r="E18" s="30"/>
      <c r="F18" s="31"/>
      <c r="G18" s="97"/>
      <c r="H18" s="32"/>
      <c r="I18" s="33"/>
      <c r="J18" s="96"/>
      <c r="K18" s="30"/>
      <c r="L18" s="30"/>
      <c r="M18" s="30"/>
      <c r="N18" s="30"/>
      <c r="O18" s="30"/>
      <c r="P18" s="34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s="35" customFormat="1" ht="13.5" customHeight="1" x14ac:dyDescent="0.25">
      <c r="A19" s="27"/>
      <c r="B19" s="208">
        <v>1</v>
      </c>
      <c r="C19" s="211">
        <f>+C18+$N$12</f>
        <v>2.91</v>
      </c>
      <c r="D19" s="188">
        <v>0.27500000000000002</v>
      </c>
      <c r="E19" s="188">
        <v>0.20499999999999999</v>
      </c>
      <c r="F19" s="36" t="s">
        <v>75</v>
      </c>
      <c r="G19" s="37">
        <v>0</v>
      </c>
      <c r="H19" s="38"/>
      <c r="I19" s="39"/>
      <c r="J19" s="40">
        <v>0.128</v>
      </c>
      <c r="K19" s="188">
        <f>+IF(E19&lt;=0.12,(J21),(IF(E19&lt;0.16,((J20+2*J21+J22)/4),IF(E19&gt;=0.16,((J19+3*J20+2*J21+3*J22+J23)/10)))))</f>
        <v>0.16169999999999998</v>
      </c>
      <c r="L19" s="188">
        <f>ROUND(+(D18+D19)/2*(C19-C18),3)</f>
        <v>0.183</v>
      </c>
      <c r="M19" s="188">
        <f>ROUND(+K19*L19,4)</f>
        <v>2.9600000000000001E-2</v>
      </c>
      <c r="N19" s="191">
        <f>ROUND(+M19/$M$103*100,2)</f>
        <v>1.1200000000000001</v>
      </c>
      <c r="O19" s="192"/>
      <c r="P19" s="193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s="35" customFormat="1" ht="13.5" customHeight="1" x14ac:dyDescent="0.25">
      <c r="A20" s="27"/>
      <c r="B20" s="209"/>
      <c r="C20" s="189"/>
      <c r="D20" s="189"/>
      <c r="E20" s="189"/>
      <c r="F20" s="41" t="s">
        <v>76</v>
      </c>
      <c r="G20" s="42">
        <f>IF(E19&lt;0.125,"NA",IF(0.125&lt;=E19,(0.2*E19)))</f>
        <v>4.1000000000000002E-2</v>
      </c>
      <c r="H20" s="43"/>
      <c r="I20" s="44"/>
      <c r="J20" s="45">
        <v>0.153</v>
      </c>
      <c r="K20" s="189"/>
      <c r="L20" s="189"/>
      <c r="M20" s="189"/>
      <c r="N20" s="189"/>
      <c r="O20" s="189"/>
      <c r="P20" s="194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s="35" customFormat="1" ht="13.5" customHeight="1" x14ac:dyDescent="0.25">
      <c r="A21" s="27"/>
      <c r="B21" s="209"/>
      <c r="C21" s="189"/>
      <c r="D21" s="189"/>
      <c r="E21" s="189"/>
      <c r="F21" s="41" t="s">
        <v>77</v>
      </c>
      <c r="G21" s="42">
        <f>+E19*0.4</f>
        <v>8.2000000000000003E-2</v>
      </c>
      <c r="H21" s="43"/>
      <c r="I21" s="44"/>
      <c r="J21" s="45">
        <v>0.18099999999999999</v>
      </c>
      <c r="K21" s="189"/>
      <c r="L21" s="189"/>
      <c r="M21" s="189"/>
      <c r="N21" s="189"/>
      <c r="O21" s="189"/>
      <c r="P21" s="194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s="35" customFormat="1" ht="13.5" customHeight="1" x14ac:dyDescent="0.25">
      <c r="A22" s="27"/>
      <c r="B22" s="209"/>
      <c r="C22" s="189"/>
      <c r="D22" s="189"/>
      <c r="E22" s="189"/>
      <c r="F22" s="41" t="s">
        <v>78</v>
      </c>
      <c r="G22" s="42">
        <f>IF(E19&lt;0.125,"NA",IF(0.125&lt;=E19,(0.8*E19)))</f>
        <v>0.16400000000000001</v>
      </c>
      <c r="H22" s="43"/>
      <c r="I22" s="44"/>
      <c r="J22" s="45">
        <v>0.17199999999999999</v>
      </c>
      <c r="K22" s="189"/>
      <c r="L22" s="189"/>
      <c r="M22" s="189"/>
      <c r="N22" s="189"/>
      <c r="O22" s="189"/>
      <c r="P22" s="194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s="35" customFormat="1" ht="13.5" customHeight="1" thickBot="1" x14ac:dyDescent="0.3">
      <c r="A23" s="27"/>
      <c r="B23" s="210"/>
      <c r="C23" s="190"/>
      <c r="D23" s="190"/>
      <c r="E23" s="190"/>
      <c r="F23" s="46" t="s">
        <v>79</v>
      </c>
      <c r="G23" s="47">
        <f>+E19</f>
        <v>0.20499999999999999</v>
      </c>
      <c r="H23" s="48"/>
      <c r="I23" s="49"/>
      <c r="J23" s="50">
        <v>0.152</v>
      </c>
      <c r="K23" s="190"/>
      <c r="L23" s="190"/>
      <c r="M23" s="190"/>
      <c r="N23" s="190"/>
      <c r="O23" s="190"/>
      <c r="P23" s="195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s="35" customFormat="1" ht="13.5" customHeight="1" x14ac:dyDescent="0.25">
      <c r="A24" s="27"/>
      <c r="B24" s="208">
        <v>2</v>
      </c>
      <c r="C24" s="211">
        <f>+C19+$N$12</f>
        <v>3.91</v>
      </c>
      <c r="D24" s="188">
        <v>0.16500000000000001</v>
      </c>
      <c r="E24" s="188">
        <v>0.23499999999999999</v>
      </c>
      <c r="F24" s="36" t="s">
        <v>75</v>
      </c>
      <c r="G24" s="37">
        <v>0</v>
      </c>
      <c r="H24" s="38"/>
      <c r="I24" s="39"/>
      <c r="J24" s="40">
        <v>0.29699999999999999</v>
      </c>
      <c r="K24" s="188">
        <f>+IF(E24&lt;=0.12,(J26),(IF(E24&lt;0.16,((J25+2*J26+J27)/4),IF(E24&gt;=0.16,((J24+3*J25+2*J26+3*J27+J28)/10)))))</f>
        <v>0.31539999999999996</v>
      </c>
      <c r="L24" s="188">
        <f>ROUND(+(D19+D24)/2*(C24-C19),3)</f>
        <v>0.22</v>
      </c>
      <c r="M24" s="188">
        <f>ROUND(+K24*L24,4)</f>
        <v>6.9400000000000003E-2</v>
      </c>
      <c r="N24" s="191">
        <f>ROUND(+M24/$M$103*100,2)</f>
        <v>2.62</v>
      </c>
      <c r="O24" s="192"/>
      <c r="P24" s="193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s="35" customFormat="1" ht="13.5" customHeight="1" x14ac:dyDescent="0.25">
      <c r="A25" s="27"/>
      <c r="B25" s="209"/>
      <c r="C25" s="189"/>
      <c r="D25" s="189"/>
      <c r="E25" s="189"/>
      <c r="F25" s="41" t="s">
        <v>76</v>
      </c>
      <c r="G25" s="42">
        <f t="shared" ref="G25" si="0">IF(E24&lt;0.125,"NA",IF(0.125&lt;=E24,(0.2*E24)))</f>
        <v>4.7E-2</v>
      </c>
      <c r="H25" s="43"/>
      <c r="I25" s="44"/>
      <c r="J25" s="45">
        <v>0.312</v>
      </c>
      <c r="K25" s="189"/>
      <c r="L25" s="189"/>
      <c r="M25" s="189"/>
      <c r="N25" s="189"/>
      <c r="O25" s="189"/>
      <c r="P25" s="194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s="35" customFormat="1" ht="13.5" customHeight="1" x14ac:dyDescent="0.25">
      <c r="A26" s="27"/>
      <c r="B26" s="209"/>
      <c r="C26" s="189"/>
      <c r="D26" s="189"/>
      <c r="E26" s="189"/>
      <c r="F26" s="41" t="s">
        <v>77</v>
      </c>
      <c r="G26" s="42">
        <f t="shared" ref="G26" si="1">+E24*0.4</f>
        <v>9.4E-2</v>
      </c>
      <c r="H26" s="43"/>
      <c r="I26" s="44"/>
      <c r="J26" s="45">
        <v>0.30599999999999999</v>
      </c>
      <c r="K26" s="189"/>
      <c r="L26" s="189"/>
      <c r="M26" s="189"/>
      <c r="N26" s="189"/>
      <c r="O26" s="189"/>
      <c r="P26" s="194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s="35" customFormat="1" ht="13.5" customHeight="1" x14ac:dyDescent="0.25">
      <c r="A27" s="27"/>
      <c r="B27" s="209"/>
      <c r="C27" s="189"/>
      <c r="D27" s="189"/>
      <c r="E27" s="189"/>
      <c r="F27" s="41" t="s">
        <v>78</v>
      </c>
      <c r="G27" s="42">
        <f t="shared" ref="G27" si="2">IF(E24&lt;0.125,"NA",IF(0.125&lt;=E24,(0.8*E24)))</f>
        <v>0.188</v>
      </c>
      <c r="H27" s="43"/>
      <c r="I27" s="44"/>
      <c r="J27" s="45">
        <v>0.32600000000000001</v>
      </c>
      <c r="K27" s="189"/>
      <c r="L27" s="189"/>
      <c r="M27" s="189"/>
      <c r="N27" s="189"/>
      <c r="O27" s="189"/>
      <c r="P27" s="194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s="35" customFormat="1" ht="13.5" customHeight="1" thickBot="1" x14ac:dyDescent="0.3">
      <c r="A28" s="27"/>
      <c r="B28" s="210"/>
      <c r="C28" s="190"/>
      <c r="D28" s="190"/>
      <c r="E28" s="190"/>
      <c r="F28" s="46" t="s">
        <v>79</v>
      </c>
      <c r="G28" s="47">
        <f t="shared" ref="G28" si="3">+E24</f>
        <v>0.23499999999999999</v>
      </c>
      <c r="H28" s="48"/>
      <c r="I28" s="49"/>
      <c r="J28" s="50">
        <v>0.33100000000000002</v>
      </c>
      <c r="K28" s="190"/>
      <c r="L28" s="190"/>
      <c r="M28" s="190"/>
      <c r="N28" s="190"/>
      <c r="O28" s="190"/>
      <c r="P28" s="195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s="35" customFormat="1" ht="13.5" customHeight="1" x14ac:dyDescent="0.25">
      <c r="A29" s="27"/>
      <c r="B29" s="208">
        <v>3</v>
      </c>
      <c r="C29" s="211">
        <f>+C24+$N$12</f>
        <v>4.91</v>
      </c>
      <c r="D29" s="188">
        <v>0.29499999999999998</v>
      </c>
      <c r="E29" s="188">
        <v>0.35499999999999998</v>
      </c>
      <c r="F29" s="36" t="s">
        <v>75</v>
      </c>
      <c r="G29" s="37">
        <v>0</v>
      </c>
      <c r="H29" s="38"/>
      <c r="I29" s="39"/>
      <c r="J29" s="40">
        <v>0.29099999999999998</v>
      </c>
      <c r="K29" s="188">
        <f t="shared" ref="K29" si="4">+IF(E29&lt;=0.12,(J31),(IF(E29&lt;0.16,((J30+2*J31+J32)/4),IF(E29&gt;=0.16,((J29+3*J30+2*J31+3*J32+J33)/10)))))</f>
        <v>0.35419999999999996</v>
      </c>
      <c r="L29" s="188">
        <f t="shared" ref="L29" si="5">ROUND(+(D24+D29)/2*(C29-C24),3)</f>
        <v>0.23</v>
      </c>
      <c r="M29" s="188">
        <f t="shared" ref="M29" si="6">ROUND(+K29*L29,4)</f>
        <v>8.1500000000000003E-2</v>
      </c>
      <c r="N29" s="191">
        <f t="shared" ref="N29" si="7">ROUND(+M29/$M$103*100,2)</f>
        <v>3.07</v>
      </c>
      <c r="O29" s="192"/>
      <c r="P29" s="193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s="35" customFormat="1" ht="13.5" customHeight="1" x14ac:dyDescent="0.25">
      <c r="A30" s="27"/>
      <c r="B30" s="209"/>
      <c r="C30" s="189"/>
      <c r="D30" s="189"/>
      <c r="E30" s="189"/>
      <c r="F30" s="41" t="s">
        <v>76</v>
      </c>
      <c r="G30" s="42">
        <f t="shared" ref="G30" si="8">IF(E29&lt;0.125,"NA",IF(0.125&lt;=E29,(0.2*E29)))</f>
        <v>7.0999999999999994E-2</v>
      </c>
      <c r="H30" s="43"/>
      <c r="I30" s="44"/>
      <c r="J30" s="45">
        <v>0.32800000000000001</v>
      </c>
      <c r="K30" s="189"/>
      <c r="L30" s="189"/>
      <c r="M30" s="189"/>
      <c r="N30" s="189"/>
      <c r="O30" s="189"/>
      <c r="P30" s="194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s="35" customFormat="1" ht="13.5" customHeight="1" x14ac:dyDescent="0.25">
      <c r="A31" s="27"/>
      <c r="B31" s="209"/>
      <c r="C31" s="189"/>
      <c r="D31" s="189"/>
      <c r="E31" s="189"/>
      <c r="F31" s="41" t="s">
        <v>77</v>
      </c>
      <c r="G31" s="42">
        <f t="shared" ref="G31" si="9">+E29*0.4</f>
        <v>0.14199999999999999</v>
      </c>
      <c r="H31" s="43"/>
      <c r="I31" s="44"/>
      <c r="J31" s="45">
        <v>0.371</v>
      </c>
      <c r="K31" s="189"/>
      <c r="L31" s="189"/>
      <c r="M31" s="189"/>
      <c r="N31" s="189"/>
      <c r="O31" s="189"/>
      <c r="P31" s="194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s="35" customFormat="1" ht="13.5" customHeight="1" x14ac:dyDescent="0.25">
      <c r="A32" s="27"/>
      <c r="B32" s="209"/>
      <c r="C32" s="189"/>
      <c r="D32" s="189"/>
      <c r="E32" s="189"/>
      <c r="F32" s="41" t="s">
        <v>78</v>
      </c>
      <c r="G32" s="42">
        <f t="shared" ref="G32" si="10">IF(E29&lt;0.125,"NA",IF(0.125&lt;=E29,(0.8*E29)))</f>
        <v>0.28399999999999997</v>
      </c>
      <c r="H32" s="43"/>
      <c r="I32" s="44"/>
      <c r="J32" s="45">
        <v>0.377</v>
      </c>
      <c r="K32" s="189"/>
      <c r="L32" s="189"/>
      <c r="M32" s="189"/>
      <c r="N32" s="189"/>
      <c r="O32" s="189"/>
      <c r="P32" s="194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s="35" customFormat="1" ht="13.5" customHeight="1" thickBot="1" x14ac:dyDescent="0.3">
      <c r="A33" s="27"/>
      <c r="B33" s="210"/>
      <c r="C33" s="190"/>
      <c r="D33" s="190"/>
      <c r="E33" s="190"/>
      <c r="F33" s="46" t="s">
        <v>79</v>
      </c>
      <c r="G33" s="47">
        <f t="shared" ref="G33" si="11">+E29</f>
        <v>0.35499999999999998</v>
      </c>
      <c r="H33" s="48"/>
      <c r="I33" s="49"/>
      <c r="J33" s="50">
        <v>0.39400000000000002</v>
      </c>
      <c r="K33" s="190"/>
      <c r="L33" s="190"/>
      <c r="M33" s="190"/>
      <c r="N33" s="190"/>
      <c r="O33" s="190"/>
      <c r="P33" s="195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s="35" customFormat="1" ht="13.5" customHeight="1" x14ac:dyDescent="0.25">
      <c r="A34" s="27"/>
      <c r="B34" s="208">
        <v>4</v>
      </c>
      <c r="C34" s="211">
        <f>+C29+$N$12</f>
        <v>5.91</v>
      </c>
      <c r="D34" s="188">
        <v>0.47</v>
      </c>
      <c r="E34" s="188">
        <v>0.32500000000000001</v>
      </c>
      <c r="F34" s="36" t="s">
        <v>75</v>
      </c>
      <c r="G34" s="37">
        <v>0</v>
      </c>
      <c r="H34" s="38"/>
      <c r="I34" s="39"/>
      <c r="J34" s="40">
        <v>0.28199999999999997</v>
      </c>
      <c r="K34" s="188">
        <f t="shared" ref="K34" si="12">+IF(E34&lt;=0.12,(J36),(IF(E34&lt;0.16,((J35+2*J36+J37)/4),IF(E34&gt;=0.16,((J34+3*J35+2*J36+3*J37+J38)/10)))))</f>
        <v>0.37769999999999998</v>
      </c>
      <c r="L34" s="188">
        <f t="shared" ref="L34" si="13">ROUND(+(D29+D34)/2*(C34-C29),3)</f>
        <v>0.38300000000000001</v>
      </c>
      <c r="M34" s="188">
        <f t="shared" ref="M34" si="14">ROUND(+K34*L34,4)</f>
        <v>0.1447</v>
      </c>
      <c r="N34" s="191">
        <f t="shared" ref="N34" si="15">ROUND(+M34/$M$103*100,2)</f>
        <v>5.45</v>
      </c>
      <c r="O34" s="192"/>
      <c r="P34" s="193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s="35" customFormat="1" ht="13.5" customHeight="1" x14ac:dyDescent="0.25">
      <c r="A35" s="27"/>
      <c r="B35" s="209"/>
      <c r="C35" s="189"/>
      <c r="D35" s="189"/>
      <c r="E35" s="189"/>
      <c r="F35" s="41" t="s">
        <v>76</v>
      </c>
      <c r="G35" s="42">
        <f t="shared" ref="G35" si="16">IF(E34&lt;0.125,"NA",IF(0.125&lt;=E34,(0.2*E34)))</f>
        <v>6.5000000000000002E-2</v>
      </c>
      <c r="H35" s="43"/>
      <c r="I35" s="44"/>
      <c r="J35" s="45">
        <v>0.375</v>
      </c>
      <c r="K35" s="189"/>
      <c r="L35" s="189"/>
      <c r="M35" s="189"/>
      <c r="N35" s="189"/>
      <c r="O35" s="189"/>
      <c r="P35" s="194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s="35" customFormat="1" ht="13.5" customHeight="1" x14ac:dyDescent="0.25">
      <c r="A36" s="27"/>
      <c r="B36" s="209"/>
      <c r="C36" s="189"/>
      <c r="D36" s="189"/>
      <c r="E36" s="189"/>
      <c r="F36" s="41" t="s">
        <v>77</v>
      </c>
      <c r="G36" s="42">
        <f t="shared" ref="G36" si="17">+E34*0.4</f>
        <v>0.13</v>
      </c>
      <c r="H36" s="43"/>
      <c r="I36" s="44"/>
      <c r="J36" s="45">
        <v>0.35699999999999998</v>
      </c>
      <c r="K36" s="189"/>
      <c r="L36" s="189"/>
      <c r="M36" s="189"/>
      <c r="N36" s="189"/>
      <c r="O36" s="189"/>
      <c r="P36" s="194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s="35" customFormat="1" ht="13.5" customHeight="1" x14ac:dyDescent="0.25">
      <c r="A37" s="27"/>
      <c r="B37" s="209"/>
      <c r="C37" s="189"/>
      <c r="D37" s="189"/>
      <c r="E37" s="189"/>
      <c r="F37" s="41" t="s">
        <v>78</v>
      </c>
      <c r="G37" s="42">
        <f t="shared" ref="G37" si="18">IF(E34&lt;0.125,"NA",IF(0.125&lt;=E34,(0.8*E34)))</f>
        <v>0.26</v>
      </c>
      <c r="H37" s="43"/>
      <c r="I37" s="44"/>
      <c r="J37" s="45">
        <v>0.41499999999999998</v>
      </c>
      <c r="K37" s="189"/>
      <c r="L37" s="189"/>
      <c r="M37" s="189"/>
      <c r="N37" s="189"/>
      <c r="O37" s="189"/>
      <c r="P37" s="194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s="35" customFormat="1" ht="13.5" customHeight="1" thickBot="1" x14ac:dyDescent="0.3">
      <c r="A38" s="27"/>
      <c r="B38" s="210"/>
      <c r="C38" s="190"/>
      <c r="D38" s="190"/>
      <c r="E38" s="190"/>
      <c r="F38" s="46" t="s">
        <v>79</v>
      </c>
      <c r="G38" s="47">
        <f t="shared" ref="G38" si="19">+E34</f>
        <v>0.32500000000000001</v>
      </c>
      <c r="H38" s="48"/>
      <c r="I38" s="49"/>
      <c r="J38" s="50">
        <v>0.41099999999999998</v>
      </c>
      <c r="K38" s="190"/>
      <c r="L38" s="190"/>
      <c r="M38" s="190"/>
      <c r="N38" s="190"/>
      <c r="O38" s="190"/>
      <c r="P38" s="195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s="35" customFormat="1" ht="13.5" customHeight="1" x14ac:dyDescent="0.25">
      <c r="A39" s="27"/>
      <c r="B39" s="208">
        <v>5</v>
      </c>
      <c r="C39" s="211">
        <f>+C34+$N$12</f>
        <v>6.91</v>
      </c>
      <c r="D39" s="188">
        <v>0.46</v>
      </c>
      <c r="E39" s="188">
        <v>0.45500000000000002</v>
      </c>
      <c r="F39" s="36" t="s">
        <v>75</v>
      </c>
      <c r="G39" s="37">
        <v>0</v>
      </c>
      <c r="H39" s="38"/>
      <c r="I39" s="39"/>
      <c r="J39" s="40">
        <v>0.38300000000000001</v>
      </c>
      <c r="K39" s="188">
        <f t="shared" ref="K39" si="20">+IF(E39&lt;=0.12,(J41),(IF(E39&lt;0.16,((J40+2*J41+J42)/4),IF(E39&gt;=0.16,((J39+3*J40+2*J41+3*J42+J43)/10)))))</f>
        <v>0.55349999999999988</v>
      </c>
      <c r="L39" s="188">
        <f t="shared" ref="L39" si="21">ROUND(+(D34+D39)/2*(C39-C34),3)</f>
        <v>0.46500000000000002</v>
      </c>
      <c r="M39" s="188">
        <f t="shared" ref="M39" si="22">ROUND(+K39*L39,4)</f>
        <v>0.25740000000000002</v>
      </c>
      <c r="N39" s="191">
        <f t="shared" ref="N39" si="23">ROUND(+M39/$M$103*100,2)</f>
        <v>9.6999999999999993</v>
      </c>
      <c r="O39" s="192"/>
      <c r="P39" s="193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s="35" customFormat="1" ht="13.5" customHeight="1" x14ac:dyDescent="0.25">
      <c r="A40" s="27"/>
      <c r="B40" s="209"/>
      <c r="C40" s="189"/>
      <c r="D40" s="189"/>
      <c r="E40" s="189"/>
      <c r="F40" s="41" t="s">
        <v>76</v>
      </c>
      <c r="G40" s="42">
        <f t="shared" ref="G40" si="24">IF(E39&lt;0.125,"NA",IF(0.125&lt;=E39,(0.2*E39)))</f>
        <v>9.1000000000000011E-2</v>
      </c>
      <c r="H40" s="43"/>
      <c r="I40" s="44"/>
      <c r="J40" s="45">
        <v>0.441</v>
      </c>
      <c r="K40" s="189"/>
      <c r="L40" s="189"/>
      <c r="M40" s="189"/>
      <c r="N40" s="189"/>
      <c r="O40" s="189"/>
      <c r="P40" s="194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s="35" customFormat="1" ht="13.5" customHeight="1" x14ac:dyDescent="0.25">
      <c r="A41" s="27"/>
      <c r="B41" s="209"/>
      <c r="C41" s="189"/>
      <c r="D41" s="189"/>
      <c r="E41" s="189"/>
      <c r="F41" s="41" t="s">
        <v>77</v>
      </c>
      <c r="G41" s="42">
        <f t="shared" ref="G41" si="25">+E39*0.4</f>
        <v>0.18200000000000002</v>
      </c>
      <c r="H41" s="43"/>
      <c r="I41" s="44"/>
      <c r="J41" s="45">
        <v>0.46800000000000003</v>
      </c>
      <c r="K41" s="189"/>
      <c r="L41" s="189"/>
      <c r="M41" s="189"/>
      <c r="N41" s="189"/>
      <c r="O41" s="189"/>
      <c r="P41" s="194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s="35" customFormat="1" ht="13.5" customHeight="1" x14ac:dyDescent="0.25">
      <c r="A42" s="27"/>
      <c r="B42" s="209"/>
      <c r="C42" s="189"/>
      <c r="D42" s="189"/>
      <c r="E42" s="189"/>
      <c r="F42" s="41" t="s">
        <v>78</v>
      </c>
      <c r="G42" s="42">
        <f t="shared" ref="G42" si="26">IF(E39&lt;0.125,"NA",IF(0.125&lt;=E39,(0.8*E39)))</f>
        <v>0.36400000000000005</v>
      </c>
      <c r="H42" s="43"/>
      <c r="I42" s="44"/>
      <c r="J42" s="45">
        <v>0.72</v>
      </c>
      <c r="K42" s="189"/>
      <c r="L42" s="189"/>
      <c r="M42" s="189"/>
      <c r="N42" s="189"/>
      <c r="O42" s="189"/>
      <c r="P42" s="194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s="35" customFormat="1" ht="13.5" customHeight="1" thickBot="1" x14ac:dyDescent="0.3">
      <c r="A43" s="27"/>
      <c r="B43" s="210"/>
      <c r="C43" s="190"/>
      <c r="D43" s="190"/>
      <c r="E43" s="190"/>
      <c r="F43" s="46" t="s">
        <v>79</v>
      </c>
      <c r="G43" s="47">
        <f t="shared" ref="G43" si="27">+E39</f>
        <v>0.45500000000000002</v>
      </c>
      <c r="H43" s="48"/>
      <c r="I43" s="49"/>
      <c r="J43" s="50">
        <v>0.73299999999999998</v>
      </c>
      <c r="K43" s="190"/>
      <c r="L43" s="190"/>
      <c r="M43" s="190"/>
      <c r="N43" s="190"/>
      <c r="O43" s="190"/>
      <c r="P43" s="195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s="35" customFormat="1" ht="13.5" customHeight="1" x14ac:dyDescent="0.25">
      <c r="A44" s="27"/>
      <c r="B44" s="208">
        <v>6</v>
      </c>
      <c r="C44" s="211">
        <f>+C39+$N$12</f>
        <v>7.91</v>
      </c>
      <c r="D44" s="188">
        <v>0.20499999999999999</v>
      </c>
      <c r="E44" s="188">
        <v>0.34499999999999997</v>
      </c>
      <c r="F44" s="36" t="s">
        <v>75</v>
      </c>
      <c r="G44" s="37">
        <v>0</v>
      </c>
      <c r="H44" s="38"/>
      <c r="I44" s="39"/>
      <c r="J44" s="40">
        <v>0.32800000000000001</v>
      </c>
      <c r="K44" s="188">
        <f t="shared" ref="K44" si="28">+IF(E44&lt;=0.12,(J46),(IF(E44&lt;0.16,((J45+2*J46+J47)/4),IF(E44&gt;=0.16,((J44+3*J45+2*J46+3*J47+J48)/10)))))</f>
        <v>0.61130000000000007</v>
      </c>
      <c r="L44" s="188">
        <f t="shared" ref="L44" si="29">ROUND(+(D39+D44)/2*(C44-C39),3)</f>
        <v>0.33300000000000002</v>
      </c>
      <c r="M44" s="188">
        <f t="shared" ref="M44" si="30">ROUND(+K44*L44,4)</f>
        <v>0.2036</v>
      </c>
      <c r="N44" s="191">
        <f t="shared" ref="N44" si="31">ROUND(+M44/$M$103*100,2)</f>
        <v>7.67</v>
      </c>
      <c r="O44" s="192"/>
      <c r="P44" s="193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s="35" customFormat="1" ht="13.5" customHeight="1" x14ac:dyDescent="0.25">
      <c r="A45" s="27"/>
      <c r="B45" s="209"/>
      <c r="C45" s="189"/>
      <c r="D45" s="189"/>
      <c r="E45" s="189"/>
      <c r="F45" s="41" t="s">
        <v>76</v>
      </c>
      <c r="G45" s="42">
        <f t="shared" ref="G45" si="32">IF(E44&lt;0.125,"NA",IF(0.125&lt;=E44,(0.2*E44)))</f>
        <v>6.8999999999999992E-2</v>
      </c>
      <c r="H45" s="43"/>
      <c r="I45" s="44"/>
      <c r="J45" s="45">
        <v>0.53100000000000003</v>
      </c>
      <c r="K45" s="189"/>
      <c r="L45" s="189"/>
      <c r="M45" s="189"/>
      <c r="N45" s="189"/>
      <c r="O45" s="189"/>
      <c r="P45" s="194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s="35" customFormat="1" ht="13.5" customHeight="1" x14ac:dyDescent="0.25">
      <c r="A46" s="27"/>
      <c r="B46" s="209"/>
      <c r="C46" s="189"/>
      <c r="D46" s="189"/>
      <c r="E46" s="189"/>
      <c r="F46" s="41" t="s">
        <v>77</v>
      </c>
      <c r="G46" s="42">
        <f t="shared" ref="G46" si="33">+E44*0.4</f>
        <v>0.13799999999999998</v>
      </c>
      <c r="H46" s="43"/>
      <c r="I46" s="44"/>
      <c r="J46" s="45">
        <v>0.61599999999999999</v>
      </c>
      <c r="K46" s="189"/>
      <c r="L46" s="189"/>
      <c r="M46" s="189"/>
      <c r="N46" s="189"/>
      <c r="O46" s="189"/>
      <c r="P46" s="194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s="35" customFormat="1" ht="13.5" customHeight="1" x14ac:dyDescent="0.25">
      <c r="A47" s="27"/>
      <c r="B47" s="209"/>
      <c r="C47" s="189"/>
      <c r="D47" s="189"/>
      <c r="E47" s="189"/>
      <c r="F47" s="41" t="s">
        <v>78</v>
      </c>
      <c r="G47" s="42">
        <f t="shared" ref="G47" si="34">IF(E44&lt;0.125,"NA",IF(0.125&lt;=E44,(0.8*E44)))</f>
        <v>0.27599999999999997</v>
      </c>
      <c r="H47" s="43"/>
      <c r="I47" s="44"/>
      <c r="J47" s="45">
        <v>0.78100000000000003</v>
      </c>
      <c r="K47" s="189"/>
      <c r="L47" s="189"/>
      <c r="M47" s="189"/>
      <c r="N47" s="189"/>
      <c r="O47" s="189"/>
      <c r="P47" s="194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s="35" customFormat="1" ht="13.5" customHeight="1" thickBot="1" x14ac:dyDescent="0.3">
      <c r="A48" s="27"/>
      <c r="B48" s="210"/>
      <c r="C48" s="190"/>
      <c r="D48" s="190"/>
      <c r="E48" s="190"/>
      <c r="F48" s="46" t="s">
        <v>79</v>
      </c>
      <c r="G48" s="47">
        <f t="shared" ref="G48" si="35">+E44</f>
        <v>0.34499999999999997</v>
      </c>
      <c r="H48" s="48"/>
      <c r="I48" s="49"/>
      <c r="J48" s="50">
        <v>0.61699999999999999</v>
      </c>
      <c r="K48" s="190"/>
      <c r="L48" s="190"/>
      <c r="M48" s="190"/>
      <c r="N48" s="190"/>
      <c r="O48" s="190"/>
      <c r="P48" s="195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s="35" customFormat="1" ht="13.5" customHeight="1" x14ac:dyDescent="0.25">
      <c r="A49" s="27"/>
      <c r="B49" s="208">
        <v>7</v>
      </c>
      <c r="C49" s="211">
        <f>+C44+$N$12</f>
        <v>8.91</v>
      </c>
      <c r="D49" s="188">
        <v>0.47</v>
      </c>
      <c r="E49" s="188">
        <v>0.34499999999999997</v>
      </c>
      <c r="F49" s="36" t="s">
        <v>75</v>
      </c>
      <c r="G49" s="37">
        <v>0</v>
      </c>
      <c r="H49" s="38"/>
      <c r="I49" s="39"/>
      <c r="J49" s="40">
        <v>0.19800000000000001</v>
      </c>
      <c r="K49" s="188">
        <f t="shared" ref="K49" si="36">+IF(E49&lt;=0.12,(J51),(IF(E49&lt;0.16,((J50+2*J51+J52)/4),IF(E49&gt;=0.16,((J49+3*J50+2*J51+3*J52+J53)/10)))))</f>
        <v>0.41830000000000001</v>
      </c>
      <c r="L49" s="188">
        <f t="shared" ref="L49" si="37">ROUND(+(D44+D49)/2*(C49-C44),3)</f>
        <v>0.33800000000000002</v>
      </c>
      <c r="M49" s="188">
        <f t="shared" ref="M49" si="38">ROUND(+K49*L49,4)</f>
        <v>0.1414</v>
      </c>
      <c r="N49" s="191">
        <f t="shared" ref="N49" si="39">ROUND(+M49/$M$103*100,2)</f>
        <v>5.33</v>
      </c>
      <c r="O49" s="192"/>
      <c r="P49" s="193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s="35" customFormat="1" ht="13.5" customHeight="1" x14ac:dyDescent="0.25">
      <c r="A50" s="27"/>
      <c r="B50" s="209"/>
      <c r="C50" s="189"/>
      <c r="D50" s="189"/>
      <c r="E50" s="189"/>
      <c r="F50" s="41" t="s">
        <v>76</v>
      </c>
      <c r="G50" s="42">
        <f t="shared" ref="G50" si="40">IF(E49&lt;0.125,"NA",IF(0.125&lt;=E49,(0.2*E49)))</f>
        <v>6.8999999999999992E-2</v>
      </c>
      <c r="H50" s="43"/>
      <c r="I50" s="44"/>
      <c r="J50" s="45">
        <v>0.27500000000000002</v>
      </c>
      <c r="K50" s="189"/>
      <c r="L50" s="189"/>
      <c r="M50" s="189"/>
      <c r="N50" s="189"/>
      <c r="O50" s="189"/>
      <c r="P50" s="194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s="35" customFormat="1" ht="13.5" customHeight="1" x14ac:dyDescent="0.25">
      <c r="A51" s="27"/>
      <c r="B51" s="209"/>
      <c r="C51" s="189"/>
      <c r="D51" s="189"/>
      <c r="E51" s="189"/>
      <c r="F51" s="41" t="s">
        <v>77</v>
      </c>
      <c r="G51" s="42">
        <f t="shared" ref="G51" si="41">+E49*0.4</f>
        <v>0.13799999999999998</v>
      </c>
      <c r="H51" s="43"/>
      <c r="I51" s="44"/>
      <c r="J51" s="45">
        <v>0.439</v>
      </c>
      <c r="K51" s="189"/>
      <c r="L51" s="189"/>
      <c r="M51" s="189"/>
      <c r="N51" s="189"/>
      <c r="O51" s="189"/>
      <c r="P51" s="194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s="35" customFormat="1" ht="13.5" customHeight="1" x14ac:dyDescent="0.25">
      <c r="A52" s="27"/>
      <c r="B52" s="209"/>
      <c r="C52" s="189"/>
      <c r="D52" s="189"/>
      <c r="E52" s="189"/>
      <c r="F52" s="41" t="s">
        <v>78</v>
      </c>
      <c r="G52" s="42">
        <f t="shared" ref="G52" si="42">IF(E49&lt;0.125,"NA",IF(0.125&lt;=E49,(0.8*E49)))</f>
        <v>0.27599999999999997</v>
      </c>
      <c r="H52" s="43"/>
      <c r="I52" s="44"/>
      <c r="J52" s="45">
        <v>0.57899999999999996</v>
      </c>
      <c r="K52" s="189"/>
      <c r="L52" s="189"/>
      <c r="M52" s="189"/>
      <c r="N52" s="189"/>
      <c r="O52" s="189"/>
      <c r="P52" s="194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s="35" customFormat="1" ht="13.5" customHeight="1" thickBot="1" x14ac:dyDescent="0.3">
      <c r="A53" s="27"/>
      <c r="B53" s="210"/>
      <c r="C53" s="190"/>
      <c r="D53" s="190"/>
      <c r="E53" s="190"/>
      <c r="F53" s="46" t="s">
        <v>79</v>
      </c>
      <c r="G53" s="47">
        <f t="shared" ref="G53" si="43">+E49</f>
        <v>0.34499999999999997</v>
      </c>
      <c r="H53" s="48"/>
      <c r="I53" s="49"/>
      <c r="J53" s="50">
        <v>0.54500000000000004</v>
      </c>
      <c r="K53" s="190"/>
      <c r="L53" s="190"/>
      <c r="M53" s="190"/>
      <c r="N53" s="190"/>
      <c r="O53" s="190"/>
      <c r="P53" s="195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s="35" customFormat="1" ht="13.5" customHeight="1" x14ac:dyDescent="0.25">
      <c r="A54" s="27"/>
      <c r="B54" s="208">
        <v>8</v>
      </c>
      <c r="C54" s="211">
        <f>+C49+$N$12</f>
        <v>9.91</v>
      </c>
      <c r="D54" s="188">
        <v>0.61</v>
      </c>
      <c r="E54" s="188">
        <v>0.56000000000000005</v>
      </c>
      <c r="F54" s="36" t="s">
        <v>75</v>
      </c>
      <c r="G54" s="37">
        <v>0</v>
      </c>
      <c r="H54" s="38"/>
      <c r="I54" s="39"/>
      <c r="J54" s="40">
        <v>0.36299999999999999</v>
      </c>
      <c r="K54" s="188">
        <f t="shared" ref="K54" si="44">+IF(E54&lt;=0.12,(J56),(IF(E54&lt;0.16,((J55+2*J56+J57)/4),IF(E54&gt;=0.16,((J54+3*J55+2*J56+3*J57+J58)/10)))))</f>
        <v>0.71599999999999997</v>
      </c>
      <c r="L54" s="188">
        <f t="shared" ref="L54" si="45">ROUND(+(D49+D54)/2*(C54-C49),3)</f>
        <v>0.54</v>
      </c>
      <c r="M54" s="188">
        <f t="shared" ref="M54" si="46">ROUND(+K54*L54,4)</f>
        <v>0.3866</v>
      </c>
      <c r="N54" s="191">
        <f t="shared" ref="N54" si="47">ROUND(+M54/$M$103*100,2)</f>
        <v>14.57</v>
      </c>
      <c r="O54" s="192"/>
      <c r="P54" s="193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s="35" customFormat="1" ht="13.5" customHeight="1" x14ac:dyDescent="0.25">
      <c r="A55" s="27"/>
      <c r="B55" s="209"/>
      <c r="C55" s="189"/>
      <c r="D55" s="189"/>
      <c r="E55" s="189"/>
      <c r="F55" s="41" t="s">
        <v>76</v>
      </c>
      <c r="G55" s="42">
        <f t="shared" ref="G55" si="48">IF(E54&lt;0.125,"NA",IF(0.125&lt;=E54,(0.2*E54)))</f>
        <v>0.11200000000000002</v>
      </c>
      <c r="H55" s="43"/>
      <c r="I55" s="44"/>
      <c r="J55" s="45">
        <v>0.65800000000000003</v>
      </c>
      <c r="K55" s="189"/>
      <c r="L55" s="189"/>
      <c r="M55" s="189"/>
      <c r="N55" s="189"/>
      <c r="O55" s="189"/>
      <c r="P55" s="194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s="35" customFormat="1" ht="13.5" customHeight="1" x14ac:dyDescent="0.25">
      <c r="A56" s="27"/>
      <c r="B56" s="209"/>
      <c r="C56" s="189"/>
      <c r="D56" s="189"/>
      <c r="E56" s="189"/>
      <c r="F56" s="41" t="s">
        <v>77</v>
      </c>
      <c r="G56" s="42">
        <f t="shared" ref="G56" si="49">+E54*0.4</f>
        <v>0.22400000000000003</v>
      </c>
      <c r="H56" s="43"/>
      <c r="I56" s="44"/>
      <c r="J56" s="45">
        <v>0.84</v>
      </c>
      <c r="K56" s="189"/>
      <c r="L56" s="189"/>
      <c r="M56" s="189"/>
      <c r="N56" s="189"/>
      <c r="O56" s="189"/>
      <c r="P56" s="194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s="35" customFormat="1" ht="13.5" customHeight="1" x14ac:dyDescent="0.25">
      <c r="A57" s="27"/>
      <c r="B57" s="209"/>
      <c r="C57" s="189"/>
      <c r="D57" s="189"/>
      <c r="E57" s="189"/>
      <c r="F57" s="41" t="s">
        <v>78</v>
      </c>
      <c r="G57" s="42">
        <f t="shared" ref="G57" si="50">IF(E54&lt;0.125,"NA",IF(0.125&lt;=E54,(0.8*E54)))</f>
        <v>0.44800000000000006</v>
      </c>
      <c r="H57" s="43"/>
      <c r="I57" s="44"/>
      <c r="J57" s="45">
        <v>0.88200000000000001</v>
      </c>
      <c r="K57" s="189"/>
      <c r="L57" s="189"/>
      <c r="M57" s="189"/>
      <c r="N57" s="189"/>
      <c r="O57" s="189"/>
      <c r="P57" s="194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s="35" customFormat="1" ht="13.5" customHeight="1" thickBot="1" x14ac:dyDescent="0.3">
      <c r="A58" s="27"/>
      <c r="B58" s="210"/>
      <c r="C58" s="190"/>
      <c r="D58" s="190"/>
      <c r="E58" s="190"/>
      <c r="F58" s="46" t="s">
        <v>79</v>
      </c>
      <c r="G58" s="47">
        <f t="shared" ref="G58" si="51">+E54</f>
        <v>0.56000000000000005</v>
      </c>
      <c r="H58" s="48"/>
      <c r="I58" s="49"/>
      <c r="J58" s="50">
        <v>0.497</v>
      </c>
      <c r="K58" s="190"/>
      <c r="L58" s="190"/>
      <c r="M58" s="190"/>
      <c r="N58" s="190"/>
      <c r="O58" s="190"/>
      <c r="P58" s="195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s="35" customFormat="1" ht="13.5" customHeight="1" x14ac:dyDescent="0.25">
      <c r="A59" s="27"/>
      <c r="B59" s="208">
        <v>9</v>
      </c>
      <c r="C59" s="211">
        <f>+C54+$N$12</f>
        <v>10.91</v>
      </c>
      <c r="D59" s="188">
        <v>0.57999999999999996</v>
      </c>
      <c r="E59" s="188">
        <v>0.55000000000000004</v>
      </c>
      <c r="F59" s="36" t="s">
        <v>75</v>
      </c>
      <c r="G59" s="37">
        <v>0</v>
      </c>
      <c r="H59" s="38"/>
      <c r="I59" s="39"/>
      <c r="J59" s="40">
        <v>0.94599999999999995</v>
      </c>
      <c r="K59" s="188">
        <f t="shared" ref="K59" si="52">+IF(E59&lt;=0.12,(J61),(IF(E59&lt;0.16,((J60+2*J61+J62)/4),IF(E59&gt;=0.16,((J59+3*J60+2*J61+3*J62+J63)/10)))))</f>
        <v>0.97089999999999999</v>
      </c>
      <c r="L59" s="188">
        <f>ROUND(+(D54+D59)/2*(C59-C54),3)</f>
        <v>0.59499999999999997</v>
      </c>
      <c r="M59" s="188">
        <f t="shared" ref="M59" si="53">ROUND(+K59*L59,4)</f>
        <v>0.57769999999999999</v>
      </c>
      <c r="N59" s="191">
        <f t="shared" ref="N59" si="54">ROUND(+M59/$M$103*100,2)</f>
        <v>21.77</v>
      </c>
      <c r="O59" s="192"/>
      <c r="P59" s="193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s="35" customFormat="1" ht="13.5" customHeight="1" x14ac:dyDescent="0.25">
      <c r="A60" s="27"/>
      <c r="B60" s="209"/>
      <c r="C60" s="189"/>
      <c r="D60" s="189"/>
      <c r="E60" s="189"/>
      <c r="F60" s="41" t="s">
        <v>76</v>
      </c>
      <c r="G60" s="42">
        <f t="shared" ref="G60" si="55">IF(E59&lt;0.125,"NA",IF(0.125&lt;=E59,(0.2*E59)))</f>
        <v>0.11000000000000001</v>
      </c>
      <c r="H60" s="43"/>
      <c r="I60" s="44"/>
      <c r="J60" s="45">
        <v>0.96799999999999997</v>
      </c>
      <c r="K60" s="189"/>
      <c r="L60" s="189"/>
      <c r="M60" s="189"/>
      <c r="N60" s="189"/>
      <c r="O60" s="189"/>
      <c r="P60" s="194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s="35" customFormat="1" ht="13.5" customHeight="1" x14ac:dyDescent="0.25">
      <c r="A61" s="27"/>
      <c r="B61" s="209"/>
      <c r="C61" s="189"/>
      <c r="D61" s="189"/>
      <c r="E61" s="189"/>
      <c r="F61" s="41" t="s">
        <v>77</v>
      </c>
      <c r="G61" s="42">
        <f t="shared" ref="G61" si="56">+E59*0.4</f>
        <v>0.22000000000000003</v>
      </c>
      <c r="H61" s="43"/>
      <c r="I61" s="44"/>
      <c r="J61" s="45">
        <v>0.89100000000000001</v>
      </c>
      <c r="K61" s="189"/>
      <c r="L61" s="189"/>
      <c r="M61" s="189"/>
      <c r="N61" s="189"/>
      <c r="O61" s="189"/>
      <c r="P61" s="194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s="35" customFormat="1" ht="13.5" customHeight="1" x14ac:dyDescent="0.25">
      <c r="A62" s="27"/>
      <c r="B62" s="209"/>
      <c r="C62" s="189"/>
      <c r="D62" s="189"/>
      <c r="E62" s="189"/>
      <c r="F62" s="41" t="s">
        <v>78</v>
      </c>
      <c r="G62" s="42">
        <f t="shared" ref="G62" si="57">IF(E59&lt;0.125,"NA",IF(0.125&lt;=E59,(0.8*E59)))</f>
        <v>0.44000000000000006</v>
      </c>
      <c r="H62" s="43"/>
      <c r="I62" s="44"/>
      <c r="J62" s="45">
        <v>1.0609999999999999</v>
      </c>
      <c r="K62" s="189"/>
      <c r="L62" s="189"/>
      <c r="M62" s="189"/>
      <c r="N62" s="189"/>
      <c r="O62" s="189"/>
      <c r="P62" s="194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s="35" customFormat="1" ht="13.5" customHeight="1" thickBot="1" x14ac:dyDescent="0.3">
      <c r="A63" s="27"/>
      <c r="B63" s="210"/>
      <c r="C63" s="190"/>
      <c r="D63" s="190"/>
      <c r="E63" s="190"/>
      <c r="F63" s="46" t="s">
        <v>79</v>
      </c>
      <c r="G63" s="47">
        <f t="shared" ref="G63" si="58">+E59</f>
        <v>0.55000000000000004</v>
      </c>
      <c r="H63" s="48"/>
      <c r="I63" s="49"/>
      <c r="J63" s="50">
        <v>0.89400000000000002</v>
      </c>
      <c r="K63" s="190"/>
      <c r="L63" s="190"/>
      <c r="M63" s="190"/>
      <c r="N63" s="190"/>
      <c r="O63" s="190"/>
      <c r="P63" s="195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s="35" customFormat="1" ht="13.5" customHeight="1" x14ac:dyDescent="0.25">
      <c r="A64" s="27"/>
      <c r="B64" s="208">
        <v>10</v>
      </c>
      <c r="C64" s="211">
        <f>+C59+$N$12</f>
        <v>11.91</v>
      </c>
      <c r="D64" s="188">
        <v>0.63</v>
      </c>
      <c r="E64" s="188">
        <v>0.67</v>
      </c>
      <c r="F64" s="36" t="s">
        <v>75</v>
      </c>
      <c r="G64" s="37">
        <v>0</v>
      </c>
      <c r="H64" s="38"/>
      <c r="I64" s="39"/>
      <c r="J64" s="40"/>
      <c r="K64" s="188"/>
      <c r="L64" s="188"/>
      <c r="M64" s="188"/>
      <c r="N64" s="191"/>
      <c r="O64" s="192"/>
      <c r="P64" s="193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s="35" customFormat="1" ht="13.5" customHeight="1" x14ac:dyDescent="0.25">
      <c r="A65" s="27"/>
      <c r="B65" s="209"/>
      <c r="C65" s="189"/>
      <c r="D65" s="189"/>
      <c r="E65" s="189"/>
      <c r="F65" s="41" t="s">
        <v>76</v>
      </c>
      <c r="G65" s="42">
        <f t="shared" ref="G65" si="59">IF(E64&lt;0.125,"NA",IF(0.125&lt;=E64,(0.2*E64)))</f>
        <v>0.13400000000000001</v>
      </c>
      <c r="H65" s="43"/>
      <c r="I65" s="44"/>
      <c r="J65" s="45"/>
      <c r="K65" s="189"/>
      <c r="L65" s="189"/>
      <c r="M65" s="189"/>
      <c r="N65" s="189"/>
      <c r="O65" s="189"/>
      <c r="P65" s="194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s="35" customFormat="1" ht="13.5" customHeight="1" x14ac:dyDescent="0.25">
      <c r="A66" s="27"/>
      <c r="B66" s="209"/>
      <c r="C66" s="189"/>
      <c r="D66" s="189"/>
      <c r="E66" s="189"/>
      <c r="F66" s="41" t="s">
        <v>77</v>
      </c>
      <c r="G66" s="42">
        <f t="shared" ref="G66" si="60">+E64*0.4</f>
        <v>0.26800000000000002</v>
      </c>
      <c r="H66" s="43"/>
      <c r="I66" s="44"/>
      <c r="J66" s="45"/>
      <c r="K66" s="189"/>
      <c r="L66" s="189"/>
      <c r="M66" s="189"/>
      <c r="N66" s="189"/>
      <c r="O66" s="189"/>
      <c r="P66" s="194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s="35" customFormat="1" ht="13.5" customHeight="1" x14ac:dyDescent="0.25">
      <c r="A67" s="27"/>
      <c r="B67" s="209"/>
      <c r="C67" s="189"/>
      <c r="D67" s="189"/>
      <c r="E67" s="189"/>
      <c r="F67" s="41" t="s">
        <v>78</v>
      </c>
      <c r="G67" s="42">
        <f t="shared" ref="G67" si="61">IF(E64&lt;0.125,"NA",IF(0.125&lt;=E64,(0.8*E64)))</f>
        <v>0.53600000000000003</v>
      </c>
      <c r="H67" s="43"/>
      <c r="I67" s="44"/>
      <c r="J67" s="45"/>
      <c r="K67" s="189"/>
      <c r="L67" s="189"/>
      <c r="M67" s="189"/>
      <c r="N67" s="189"/>
      <c r="O67" s="189"/>
      <c r="P67" s="194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s="35" customFormat="1" ht="13.5" customHeight="1" thickBot="1" x14ac:dyDescent="0.3">
      <c r="A68" s="27"/>
      <c r="B68" s="210"/>
      <c r="C68" s="190"/>
      <c r="D68" s="190"/>
      <c r="E68" s="190"/>
      <c r="F68" s="46" t="s">
        <v>79</v>
      </c>
      <c r="G68" s="47">
        <f t="shared" ref="G68" si="62">+E64</f>
        <v>0.67</v>
      </c>
      <c r="H68" s="48"/>
      <c r="I68" s="49"/>
      <c r="J68" s="50"/>
      <c r="K68" s="190"/>
      <c r="L68" s="190"/>
      <c r="M68" s="190"/>
      <c r="N68" s="190"/>
      <c r="O68" s="190"/>
      <c r="P68" s="195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s="35" customFormat="1" ht="13.5" customHeight="1" x14ac:dyDescent="0.25">
      <c r="A69" s="27"/>
      <c r="B69" s="208">
        <v>11</v>
      </c>
      <c r="C69" s="211">
        <f>+C64+$N$12</f>
        <v>12.91</v>
      </c>
      <c r="D69" s="188">
        <v>0.42</v>
      </c>
      <c r="E69" s="188">
        <v>0.32</v>
      </c>
      <c r="F69" s="36" t="s">
        <v>75</v>
      </c>
      <c r="G69" s="37">
        <v>0</v>
      </c>
      <c r="H69" s="38"/>
      <c r="I69" s="39"/>
      <c r="J69" s="40">
        <v>0.307</v>
      </c>
      <c r="K69" s="188">
        <f>+IF(E69&lt;=0.12,(J71),(IF(E69&lt;0.16,((J70+2*J71+J72)/4),IF(E69&gt;=0.16,((J69+3*J70+2*J71+3*J72+J73)/10)))))</f>
        <v>0.4037</v>
      </c>
      <c r="L69" s="188">
        <f>ROUND(+(D64+D69)/2*(C69-C64),3)</f>
        <v>0.52500000000000002</v>
      </c>
      <c r="M69" s="188">
        <f>ROUND(+K69*L69,4)</f>
        <v>0.21190000000000001</v>
      </c>
      <c r="N69" s="191">
        <f>ROUND(+M69/$M$103*100,2)</f>
        <v>7.99</v>
      </c>
      <c r="O69" s="192"/>
      <c r="P69" s="193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s="35" customFormat="1" ht="13.5" customHeight="1" x14ac:dyDescent="0.25">
      <c r="A70" s="27"/>
      <c r="B70" s="209"/>
      <c r="C70" s="189"/>
      <c r="D70" s="189"/>
      <c r="E70" s="189"/>
      <c r="F70" s="41" t="s">
        <v>76</v>
      </c>
      <c r="G70" s="42">
        <f t="shared" ref="G70" si="63">IF(E69&lt;0.125,"NA",IF(0.125&lt;=E69,(0.2*E69)))</f>
        <v>6.4000000000000001E-2</v>
      </c>
      <c r="H70" s="43"/>
      <c r="I70" s="44"/>
      <c r="J70" s="45">
        <v>0.27100000000000002</v>
      </c>
      <c r="K70" s="189"/>
      <c r="L70" s="189"/>
      <c r="M70" s="189"/>
      <c r="N70" s="189"/>
      <c r="O70" s="189"/>
      <c r="P70" s="194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s="35" customFormat="1" ht="13.5" customHeight="1" x14ac:dyDescent="0.25">
      <c r="A71" s="27"/>
      <c r="B71" s="209"/>
      <c r="C71" s="189"/>
      <c r="D71" s="189"/>
      <c r="E71" s="189"/>
      <c r="F71" s="41" t="s">
        <v>77</v>
      </c>
      <c r="G71" s="42">
        <f t="shared" ref="G71" si="64">+E69*0.4</f>
        <v>0.128</v>
      </c>
      <c r="H71" s="43"/>
      <c r="I71" s="44"/>
      <c r="J71" s="45">
        <v>0.40600000000000003</v>
      </c>
      <c r="K71" s="189"/>
      <c r="L71" s="189"/>
      <c r="M71" s="189"/>
      <c r="N71" s="189"/>
      <c r="O71" s="189"/>
      <c r="P71" s="194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s="35" customFormat="1" ht="13.5" customHeight="1" x14ac:dyDescent="0.25">
      <c r="A72" s="27"/>
      <c r="B72" s="209"/>
      <c r="C72" s="189"/>
      <c r="D72" s="189"/>
      <c r="E72" s="189"/>
      <c r="F72" s="41" t="s">
        <v>78</v>
      </c>
      <c r="G72" s="42">
        <f t="shared" ref="G72" si="65">IF(E69&lt;0.125,"NA",IF(0.125&lt;=E69,(0.8*E69)))</f>
        <v>0.25600000000000001</v>
      </c>
      <c r="H72" s="43"/>
      <c r="I72" s="44"/>
      <c r="J72" s="45">
        <v>0.53800000000000003</v>
      </c>
      <c r="K72" s="189"/>
      <c r="L72" s="189"/>
      <c r="M72" s="189"/>
      <c r="N72" s="189"/>
      <c r="O72" s="189"/>
      <c r="P72" s="194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s="35" customFormat="1" ht="13.5" customHeight="1" thickBot="1" x14ac:dyDescent="0.3">
      <c r="A73" s="27"/>
      <c r="B73" s="210"/>
      <c r="C73" s="190"/>
      <c r="D73" s="190"/>
      <c r="E73" s="190"/>
      <c r="F73" s="46" t="s">
        <v>79</v>
      </c>
      <c r="G73" s="47">
        <f t="shared" ref="G73" si="66">+E69</f>
        <v>0.32</v>
      </c>
      <c r="H73" s="48"/>
      <c r="I73" s="49"/>
      <c r="J73" s="50">
        <v>0.49099999999999999</v>
      </c>
      <c r="K73" s="190"/>
      <c r="L73" s="190"/>
      <c r="M73" s="190"/>
      <c r="N73" s="190"/>
      <c r="O73" s="190"/>
      <c r="P73" s="195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s="35" customFormat="1" ht="13.5" customHeight="1" x14ac:dyDescent="0.25">
      <c r="A74" s="27"/>
      <c r="B74" s="208">
        <v>12</v>
      </c>
      <c r="C74" s="211">
        <f>+C69+$N$12</f>
        <v>13.91</v>
      </c>
      <c r="D74" s="188">
        <v>0.42</v>
      </c>
      <c r="E74" s="188">
        <v>0.41</v>
      </c>
      <c r="F74" s="36" t="s">
        <v>75</v>
      </c>
      <c r="G74" s="37">
        <v>0</v>
      </c>
      <c r="H74" s="38"/>
      <c r="I74" s="39"/>
      <c r="J74" s="40">
        <v>0.115</v>
      </c>
      <c r="K74" s="188">
        <f t="shared" ref="K74" si="67">+IF(E74&lt;=0.12,(J76),(IF(E74&lt;0.16,((J75+2*J76+J77)/4),IF(E74&gt;=0.16,((J74+3*J75+2*J76+3*J77+J78)/10)))))</f>
        <v>0.25129999999999997</v>
      </c>
      <c r="L74" s="188">
        <f t="shared" ref="L74" si="68">ROUND(+(D69+D74)/2*(C74-C69),3)</f>
        <v>0.42</v>
      </c>
      <c r="M74" s="188">
        <f t="shared" ref="M74" si="69">ROUND(+K74*L74,4)</f>
        <v>0.1055</v>
      </c>
      <c r="N74" s="191">
        <f t="shared" ref="N74" si="70">ROUND(+M74/$M$103*100,2)</f>
        <v>3.98</v>
      </c>
      <c r="O74" s="192"/>
      <c r="P74" s="193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s="35" customFormat="1" ht="13.5" customHeight="1" x14ac:dyDescent="0.25">
      <c r="A75" s="27"/>
      <c r="B75" s="209"/>
      <c r="C75" s="189"/>
      <c r="D75" s="189"/>
      <c r="E75" s="189"/>
      <c r="F75" s="41" t="s">
        <v>76</v>
      </c>
      <c r="G75" s="42">
        <f t="shared" ref="G75" si="71">IF(E74&lt;0.125,"NA",IF(0.125&lt;=E74,(0.2*E74)))</f>
        <v>8.2000000000000003E-2</v>
      </c>
      <c r="H75" s="43"/>
      <c r="I75" s="44"/>
      <c r="J75" s="45">
        <v>0.255</v>
      </c>
      <c r="K75" s="189"/>
      <c r="L75" s="189"/>
      <c r="M75" s="189"/>
      <c r="N75" s="189"/>
      <c r="O75" s="189"/>
      <c r="P75" s="194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s="35" customFormat="1" ht="13.5" customHeight="1" x14ac:dyDescent="0.25">
      <c r="A76" s="27"/>
      <c r="B76" s="209"/>
      <c r="C76" s="189"/>
      <c r="D76" s="189"/>
      <c r="E76" s="189"/>
      <c r="F76" s="41" t="s">
        <v>77</v>
      </c>
      <c r="G76" s="42">
        <f t="shared" ref="G76" si="72">+E74*0.4</f>
        <v>0.16400000000000001</v>
      </c>
      <c r="H76" s="43"/>
      <c r="I76" s="44"/>
      <c r="J76" s="45">
        <v>0.248</v>
      </c>
      <c r="K76" s="189"/>
      <c r="L76" s="189"/>
      <c r="M76" s="189"/>
      <c r="N76" s="189"/>
      <c r="O76" s="189"/>
      <c r="P76" s="194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s="35" customFormat="1" ht="13.5" customHeight="1" x14ac:dyDescent="0.25">
      <c r="A77" s="27"/>
      <c r="B77" s="209"/>
      <c r="C77" s="189"/>
      <c r="D77" s="189"/>
      <c r="E77" s="189"/>
      <c r="F77" s="41" t="s">
        <v>78</v>
      </c>
      <c r="G77" s="42">
        <f t="shared" ref="G77" si="73">IF(E74&lt;0.125,"NA",IF(0.125&lt;=E74,(0.8*E74)))</f>
        <v>0.32800000000000001</v>
      </c>
      <c r="H77" s="43"/>
      <c r="I77" s="44"/>
      <c r="J77" s="45">
        <v>0.28899999999999998</v>
      </c>
      <c r="K77" s="189"/>
      <c r="L77" s="189"/>
      <c r="M77" s="189"/>
      <c r="N77" s="189"/>
      <c r="O77" s="189"/>
      <c r="P77" s="194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s="35" customFormat="1" ht="13.5" customHeight="1" thickBot="1" x14ac:dyDescent="0.3">
      <c r="A78" s="27"/>
      <c r="B78" s="210"/>
      <c r="C78" s="190"/>
      <c r="D78" s="190"/>
      <c r="E78" s="190"/>
      <c r="F78" s="46" t="s">
        <v>79</v>
      </c>
      <c r="G78" s="47">
        <f t="shared" ref="G78" si="74">+E74</f>
        <v>0.41</v>
      </c>
      <c r="H78" s="48"/>
      <c r="I78" s="49"/>
      <c r="J78" s="50">
        <v>0.27</v>
      </c>
      <c r="K78" s="190"/>
      <c r="L78" s="190"/>
      <c r="M78" s="190"/>
      <c r="N78" s="190"/>
      <c r="O78" s="190"/>
      <c r="P78" s="195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s="35" customFormat="1" ht="13.5" customHeight="1" x14ac:dyDescent="0.25">
      <c r="A79" s="27"/>
      <c r="B79" s="208">
        <v>13</v>
      </c>
      <c r="C79" s="211">
        <f>+C74+$N$12</f>
        <v>14.91</v>
      </c>
      <c r="D79" s="188">
        <v>0.18</v>
      </c>
      <c r="E79" s="188">
        <v>0.26</v>
      </c>
      <c r="F79" s="36" t="s">
        <v>75</v>
      </c>
      <c r="G79" s="37">
        <v>0</v>
      </c>
      <c r="H79" s="38"/>
      <c r="I79" s="39"/>
      <c r="J79" s="40"/>
      <c r="K79" s="188">
        <f t="shared" ref="K79" si="75">+IF(E79&lt;=0.12,(J81),(IF(E79&lt;0.16,((J80+2*J81+J82)/4),IF(E79&gt;=0.16,((J79+3*J80+2*J81+3*J82+J83)/10)))))</f>
        <v>9.669999999999998E-2</v>
      </c>
      <c r="L79" s="188">
        <f t="shared" ref="L79" si="76">ROUND(+(D74+D79)/2*(C79-C74),3)</f>
        <v>0.3</v>
      </c>
      <c r="M79" s="188">
        <f t="shared" ref="M79" si="77">ROUND(+K79*L79,4)</f>
        <v>2.9000000000000001E-2</v>
      </c>
      <c r="N79" s="191">
        <f t="shared" ref="N79" si="78">ROUND(+M79/$M$103*100,2)</f>
        <v>1.0900000000000001</v>
      </c>
      <c r="O79" s="192"/>
      <c r="P79" s="193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s="35" customFormat="1" ht="13.5" customHeight="1" x14ac:dyDescent="0.25">
      <c r="A80" s="27"/>
      <c r="B80" s="209"/>
      <c r="C80" s="189"/>
      <c r="D80" s="189"/>
      <c r="E80" s="189"/>
      <c r="F80" s="41" t="s">
        <v>76</v>
      </c>
      <c r="G80" s="42">
        <f t="shared" ref="G80" si="79">IF(E79&lt;0.125,"NA",IF(0.125&lt;=E79,(0.2*E79)))</f>
        <v>5.2000000000000005E-2</v>
      </c>
      <c r="H80" s="43"/>
      <c r="I80" s="44"/>
      <c r="J80" s="45">
        <v>6.4000000000000001E-2</v>
      </c>
      <c r="K80" s="189"/>
      <c r="L80" s="189"/>
      <c r="M80" s="189"/>
      <c r="N80" s="189"/>
      <c r="O80" s="189"/>
      <c r="P80" s="194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s="35" customFormat="1" ht="13.5" customHeight="1" x14ac:dyDescent="0.25">
      <c r="A81" s="27"/>
      <c r="B81" s="209"/>
      <c r="C81" s="189"/>
      <c r="D81" s="189"/>
      <c r="E81" s="189"/>
      <c r="F81" s="41" t="s">
        <v>77</v>
      </c>
      <c r="G81" s="42">
        <f t="shared" ref="G81" si="80">+E79*0.4</f>
        <v>0.10400000000000001</v>
      </c>
      <c r="H81" s="43"/>
      <c r="I81" s="44"/>
      <c r="J81" s="45">
        <v>0.128</v>
      </c>
      <c r="K81" s="189"/>
      <c r="L81" s="189"/>
      <c r="M81" s="189"/>
      <c r="N81" s="189"/>
      <c r="O81" s="189"/>
      <c r="P81" s="194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s="35" customFormat="1" ht="13.5" customHeight="1" x14ac:dyDescent="0.25">
      <c r="A82" s="27"/>
      <c r="B82" s="209"/>
      <c r="C82" s="189"/>
      <c r="D82" s="189"/>
      <c r="E82" s="189"/>
      <c r="F82" s="41" t="s">
        <v>78</v>
      </c>
      <c r="G82" s="42">
        <f t="shared" ref="G82" si="81">IF(E79&lt;0.125,"NA",IF(0.125&lt;=E79,(0.8*E79)))</f>
        <v>0.20800000000000002</v>
      </c>
      <c r="H82" s="43"/>
      <c r="I82" s="44"/>
      <c r="J82" s="45">
        <v>0.17299999999999999</v>
      </c>
      <c r="K82" s="189"/>
      <c r="L82" s="189"/>
      <c r="M82" s="189"/>
      <c r="N82" s="189"/>
      <c r="O82" s="189"/>
      <c r="P82" s="194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s="35" customFormat="1" ht="13.5" customHeight="1" thickBot="1" x14ac:dyDescent="0.3">
      <c r="A83" s="27"/>
      <c r="B83" s="210"/>
      <c r="C83" s="190"/>
      <c r="D83" s="190"/>
      <c r="E83" s="190"/>
      <c r="F83" s="46" t="s">
        <v>79</v>
      </c>
      <c r="G83" s="47">
        <f t="shared" ref="G83" si="82">+E79</f>
        <v>0.26</v>
      </c>
      <c r="H83" s="48"/>
      <c r="I83" s="49"/>
      <c r="J83" s="50"/>
      <c r="K83" s="190"/>
      <c r="L83" s="190"/>
      <c r="M83" s="190"/>
      <c r="N83" s="190"/>
      <c r="O83" s="190"/>
      <c r="P83" s="195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s="3" customFormat="1" ht="13.5" customHeight="1" x14ac:dyDescent="0.2">
      <c r="B84" s="196" t="s">
        <v>28</v>
      </c>
      <c r="C84" s="199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1"/>
    </row>
    <row r="85" spans="1:26" s="3" customFormat="1" ht="14.1" customHeight="1" x14ac:dyDescent="0.2">
      <c r="B85" s="197"/>
      <c r="C85" s="202"/>
      <c r="D85" s="203"/>
      <c r="E85" s="203"/>
      <c r="F85" s="203"/>
      <c r="G85" s="203"/>
      <c r="H85" s="203"/>
      <c r="I85" s="203"/>
      <c r="J85" s="203"/>
      <c r="K85" s="203"/>
      <c r="L85" s="203"/>
      <c r="M85" s="203"/>
      <c r="N85" s="203"/>
      <c r="O85" s="203"/>
      <c r="P85" s="204"/>
    </row>
    <row r="86" spans="1:26" s="3" customFormat="1" ht="14.1" customHeight="1" x14ac:dyDescent="0.2">
      <c r="B86" s="197"/>
      <c r="C86" s="202"/>
      <c r="D86" s="203"/>
      <c r="E86" s="203"/>
      <c r="F86" s="203"/>
      <c r="G86" s="203"/>
      <c r="H86" s="203"/>
      <c r="I86" s="203"/>
      <c r="J86" s="203"/>
      <c r="K86" s="203"/>
      <c r="L86" s="203"/>
      <c r="M86" s="203"/>
      <c r="N86" s="203"/>
      <c r="O86" s="203"/>
      <c r="P86" s="204"/>
    </row>
    <row r="87" spans="1:26" s="3" customFormat="1" ht="14.1" customHeight="1" x14ac:dyDescent="0.2">
      <c r="B87" s="197"/>
      <c r="C87" s="202"/>
      <c r="D87" s="203"/>
      <c r="E87" s="203"/>
      <c r="F87" s="203"/>
      <c r="G87" s="203"/>
      <c r="H87" s="203"/>
      <c r="I87" s="203"/>
      <c r="J87" s="203"/>
      <c r="K87" s="203"/>
      <c r="L87" s="203"/>
      <c r="M87" s="203"/>
      <c r="N87" s="203"/>
      <c r="O87" s="203"/>
      <c r="P87" s="204"/>
    </row>
    <row r="88" spans="1:26" s="3" customFormat="1" ht="14.1" customHeight="1" x14ac:dyDescent="0.2">
      <c r="B88" s="197"/>
      <c r="C88" s="202"/>
      <c r="D88" s="203"/>
      <c r="E88" s="203"/>
      <c r="F88" s="203"/>
      <c r="G88" s="203"/>
      <c r="H88" s="203"/>
      <c r="I88" s="203"/>
      <c r="J88" s="203"/>
      <c r="K88" s="203"/>
      <c r="L88" s="203"/>
      <c r="M88" s="203"/>
      <c r="N88" s="203"/>
      <c r="O88" s="203"/>
      <c r="P88" s="204"/>
    </row>
    <row r="89" spans="1:26" s="3" customFormat="1" ht="14.1" customHeight="1" thickBot="1" x14ac:dyDescent="0.25">
      <c r="B89" s="198"/>
      <c r="C89" s="205"/>
      <c r="D89" s="206"/>
      <c r="E89" s="206"/>
      <c r="F89" s="206"/>
      <c r="G89" s="206"/>
      <c r="H89" s="206"/>
      <c r="I89" s="206"/>
      <c r="J89" s="206"/>
      <c r="K89" s="206"/>
      <c r="L89" s="206"/>
      <c r="M89" s="206"/>
      <c r="N89" s="206"/>
      <c r="O89" s="206"/>
      <c r="P89" s="207"/>
    </row>
    <row r="90" spans="1:26" s="3" customFormat="1" ht="28.5" customHeight="1" thickBot="1" x14ac:dyDescent="0.25">
      <c r="A90" s="51"/>
      <c r="B90" s="52" t="s">
        <v>80</v>
      </c>
      <c r="C90" s="175" t="s">
        <v>81</v>
      </c>
      <c r="D90" s="175"/>
      <c r="E90" s="175"/>
      <c r="F90" s="175"/>
      <c r="G90" s="175"/>
      <c r="H90" s="176"/>
      <c r="I90" s="177"/>
      <c r="J90" s="52" t="s">
        <v>82</v>
      </c>
      <c r="K90" s="175" t="s">
        <v>83</v>
      </c>
      <c r="L90" s="175"/>
      <c r="M90" s="175"/>
      <c r="N90" s="175"/>
      <c r="O90" s="175"/>
      <c r="P90" s="176"/>
    </row>
    <row r="91" spans="1:26" s="3" customFormat="1" ht="28.5" customHeight="1" thickBot="1" x14ac:dyDescent="0.25">
      <c r="B91" s="53" t="s">
        <v>84</v>
      </c>
      <c r="C91" s="179" t="s">
        <v>85</v>
      </c>
      <c r="D91" s="179"/>
      <c r="E91" s="179"/>
      <c r="F91" s="179"/>
      <c r="G91" s="179"/>
      <c r="H91" s="180"/>
      <c r="I91" s="178"/>
      <c r="J91" s="53" t="s">
        <v>86</v>
      </c>
      <c r="K91" s="179" t="s">
        <v>87</v>
      </c>
      <c r="L91" s="179"/>
      <c r="M91" s="179"/>
      <c r="N91" s="179"/>
      <c r="O91" s="179"/>
      <c r="P91" s="180"/>
    </row>
    <row r="92" spans="1:26" s="91" customFormat="1" ht="13.5" customHeight="1" x14ac:dyDescent="0.25">
      <c r="A92" s="54"/>
      <c r="B92" s="181">
        <v>10</v>
      </c>
      <c r="C92" s="184">
        <f>+C59</f>
        <v>10.91</v>
      </c>
      <c r="D92" s="186">
        <f>+D59</f>
        <v>0.57999999999999996</v>
      </c>
      <c r="E92" s="186">
        <f>++E64</f>
        <v>0.67</v>
      </c>
      <c r="F92" s="55" t="s">
        <v>75</v>
      </c>
      <c r="G92" s="55">
        <v>0.01</v>
      </c>
      <c r="H92" s="56"/>
      <c r="I92" s="57"/>
      <c r="J92" s="58">
        <v>0.255</v>
      </c>
      <c r="K92" s="187">
        <f>+AVERAGE(J92:J102)</f>
        <v>0.68572727272727274</v>
      </c>
      <c r="L92" s="166">
        <f>ROUND(+(D92+D97)/2*(C97-C92),3)</f>
        <v>0.60499999999999998</v>
      </c>
      <c r="M92" s="169">
        <f>ROUND(+K92*L92,4)</f>
        <v>0.41489999999999999</v>
      </c>
      <c r="N92" s="166">
        <f>ROUND(+M92/$M$103*100,2)</f>
        <v>15.64</v>
      </c>
      <c r="O92" s="166"/>
      <c r="P92" s="170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spans="1:26" s="91" customFormat="1" ht="13.5" customHeight="1" x14ac:dyDescent="0.25">
      <c r="A93" s="54"/>
      <c r="B93" s="182"/>
      <c r="C93" s="167"/>
      <c r="D93" s="167"/>
      <c r="E93" s="167"/>
      <c r="F93" s="60" t="s">
        <v>88</v>
      </c>
      <c r="G93" s="61">
        <f>+E92*0.1</f>
        <v>6.7000000000000004E-2</v>
      </c>
      <c r="H93" s="62"/>
      <c r="I93" s="63"/>
      <c r="J93" s="64">
        <v>0.34799999999999998</v>
      </c>
      <c r="K93" s="167"/>
      <c r="L93" s="167"/>
      <c r="M93" s="167"/>
      <c r="N93" s="167"/>
      <c r="O93" s="167"/>
      <c r="P93" s="171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spans="1:26" s="91" customFormat="1" ht="13.5" customHeight="1" x14ac:dyDescent="0.25">
      <c r="A94" s="54"/>
      <c r="B94" s="182"/>
      <c r="C94" s="167"/>
      <c r="D94" s="167"/>
      <c r="E94" s="167"/>
      <c r="F94" s="60" t="s">
        <v>89</v>
      </c>
      <c r="G94" s="61">
        <f>+E92*0.2</f>
        <v>0.13400000000000001</v>
      </c>
      <c r="H94" s="62"/>
      <c r="I94" s="63"/>
      <c r="J94" s="64">
        <v>0.46800000000000003</v>
      </c>
      <c r="K94" s="167"/>
      <c r="L94" s="167"/>
      <c r="M94" s="167"/>
      <c r="N94" s="167"/>
      <c r="O94" s="167"/>
      <c r="P94" s="171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spans="1:26" s="91" customFormat="1" ht="13.5" customHeight="1" x14ac:dyDescent="0.25">
      <c r="A95" s="54"/>
      <c r="B95" s="182"/>
      <c r="C95" s="167"/>
      <c r="D95" s="167"/>
      <c r="E95" s="167"/>
      <c r="F95" s="60" t="s">
        <v>90</v>
      </c>
      <c r="G95" s="61">
        <f>+E92*0.3</f>
        <v>0.20100000000000001</v>
      </c>
      <c r="H95" s="62"/>
      <c r="I95" s="63"/>
      <c r="J95" s="64">
        <v>0.52200000000000002</v>
      </c>
      <c r="K95" s="167"/>
      <c r="L95" s="167"/>
      <c r="M95" s="167"/>
      <c r="N95" s="167"/>
      <c r="O95" s="167"/>
      <c r="P95" s="171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spans="1:26" s="91" customFormat="1" ht="13.5" customHeight="1" x14ac:dyDescent="0.25">
      <c r="A96" s="54"/>
      <c r="B96" s="182"/>
      <c r="C96" s="185"/>
      <c r="D96" s="185"/>
      <c r="E96" s="167"/>
      <c r="F96" s="60" t="s">
        <v>91</v>
      </c>
      <c r="G96" s="61">
        <f>+E92*0.4</f>
        <v>0.26800000000000002</v>
      </c>
      <c r="H96" s="62"/>
      <c r="I96" s="63"/>
      <c r="J96" s="64">
        <v>0.57299999999999995</v>
      </c>
      <c r="K96" s="167"/>
      <c r="L96" s="167"/>
      <c r="M96" s="167"/>
      <c r="N96" s="167"/>
      <c r="O96" s="167"/>
      <c r="P96" s="171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spans="1:26" s="91" customFormat="1" ht="13.5" customHeight="1" x14ac:dyDescent="0.25">
      <c r="A97" s="54"/>
      <c r="B97" s="182"/>
      <c r="C97" s="173">
        <f>+C64</f>
        <v>11.91</v>
      </c>
      <c r="D97" s="174">
        <f>+D64</f>
        <v>0.63</v>
      </c>
      <c r="E97" s="167"/>
      <c r="F97" s="60" t="s">
        <v>29</v>
      </c>
      <c r="G97" s="61">
        <f>+E92*0.5</f>
        <v>0.33500000000000002</v>
      </c>
      <c r="H97" s="62"/>
      <c r="I97" s="63"/>
      <c r="J97" s="64">
        <v>0.61</v>
      </c>
      <c r="K97" s="167"/>
      <c r="L97" s="167"/>
      <c r="M97" s="167"/>
      <c r="N97" s="167"/>
      <c r="O97" s="167"/>
      <c r="P97" s="171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spans="1:26" s="91" customFormat="1" ht="13.5" customHeight="1" x14ac:dyDescent="0.25">
      <c r="A98" s="54"/>
      <c r="B98" s="182"/>
      <c r="C98" s="167"/>
      <c r="D98" s="167"/>
      <c r="E98" s="167"/>
      <c r="F98" s="60" t="s">
        <v>92</v>
      </c>
      <c r="G98" s="61">
        <f>+E92*0.6</f>
        <v>0.40200000000000002</v>
      </c>
      <c r="H98" s="62"/>
      <c r="I98" s="63"/>
      <c r="J98" s="64">
        <v>0.90300000000000002</v>
      </c>
      <c r="K98" s="167"/>
      <c r="L98" s="167"/>
      <c r="M98" s="167"/>
      <c r="N98" s="167"/>
      <c r="O98" s="167"/>
      <c r="P98" s="171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spans="1:26" s="91" customFormat="1" ht="13.5" customHeight="1" x14ac:dyDescent="0.25">
      <c r="A99" s="54"/>
      <c r="B99" s="182"/>
      <c r="C99" s="167"/>
      <c r="D99" s="167"/>
      <c r="E99" s="167"/>
      <c r="F99" s="60" t="s">
        <v>93</v>
      </c>
      <c r="G99" s="61">
        <f>+E92*0.7</f>
        <v>0.46899999999999997</v>
      </c>
      <c r="H99" s="62"/>
      <c r="I99" s="63"/>
      <c r="J99" s="64">
        <v>0.90700000000000003</v>
      </c>
      <c r="K99" s="167"/>
      <c r="L99" s="167"/>
      <c r="M99" s="167"/>
      <c r="N99" s="167"/>
      <c r="O99" s="167"/>
      <c r="P99" s="171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spans="1:26" s="91" customFormat="1" ht="13.5" customHeight="1" x14ac:dyDescent="0.25">
      <c r="A100" s="54"/>
      <c r="B100" s="182"/>
      <c r="C100" s="167"/>
      <c r="D100" s="167"/>
      <c r="E100" s="167"/>
      <c r="F100" s="60" t="s">
        <v>94</v>
      </c>
      <c r="G100" s="61">
        <f>+E92*0.8</f>
        <v>0.53600000000000003</v>
      </c>
      <c r="H100" s="62"/>
      <c r="I100" s="63"/>
      <c r="J100" s="64">
        <v>0.96199999999999997</v>
      </c>
      <c r="K100" s="167"/>
      <c r="L100" s="167"/>
      <c r="M100" s="167"/>
      <c r="N100" s="167"/>
      <c r="O100" s="167"/>
      <c r="P100" s="171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spans="1:26" s="91" customFormat="1" ht="13.5" customHeight="1" x14ac:dyDescent="0.25">
      <c r="A101" s="54"/>
      <c r="B101" s="182"/>
      <c r="C101" s="167"/>
      <c r="D101" s="167"/>
      <c r="E101" s="167"/>
      <c r="F101" s="60" t="s">
        <v>95</v>
      </c>
      <c r="G101" s="61">
        <f>+E92*0.9</f>
        <v>0.60300000000000009</v>
      </c>
      <c r="H101" s="62"/>
      <c r="I101" s="63"/>
      <c r="J101" s="64">
        <v>1.0289999999999999</v>
      </c>
      <c r="K101" s="167"/>
      <c r="L101" s="167"/>
      <c r="M101" s="167"/>
      <c r="N101" s="167"/>
      <c r="O101" s="167"/>
      <c r="P101" s="171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spans="1:26" s="91" customFormat="1" ht="15.75" thickBot="1" x14ac:dyDescent="0.3">
      <c r="A102" s="54"/>
      <c r="B102" s="183"/>
      <c r="C102" s="168"/>
      <c r="D102" s="168"/>
      <c r="E102" s="168"/>
      <c r="F102" s="65" t="s">
        <v>30</v>
      </c>
      <c r="G102" s="65">
        <f>+E92</f>
        <v>0.67</v>
      </c>
      <c r="H102" s="66"/>
      <c r="I102" s="67"/>
      <c r="J102" s="68">
        <v>0.96599999999999997</v>
      </c>
      <c r="K102" s="168"/>
      <c r="L102" s="168"/>
      <c r="M102" s="168"/>
      <c r="N102" s="168"/>
      <c r="O102" s="168"/>
      <c r="P102" s="172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spans="1:26" s="3" customFormat="1" ht="12.75" x14ac:dyDescent="0.2">
      <c r="A103" s="8"/>
      <c r="B103" s="154" t="s">
        <v>104</v>
      </c>
      <c r="C103" s="154"/>
      <c r="D103" s="154"/>
      <c r="E103" s="154"/>
      <c r="F103" s="154"/>
      <c r="G103" s="154"/>
      <c r="H103" s="154"/>
      <c r="I103" s="154"/>
      <c r="J103" s="154"/>
      <c r="K103" s="13">
        <f>ROUND(+M103/L103,3)</f>
        <v>0.51600000000000001</v>
      </c>
      <c r="L103" s="12">
        <f>SUM(L19:L102)</f>
        <v>5.1370000000000005</v>
      </c>
      <c r="M103" s="11">
        <f>SUM(M19:M102)</f>
        <v>2.6532</v>
      </c>
      <c r="N103" s="9">
        <f>ROUND(SUM(N19:N102),0)</f>
        <v>100</v>
      </c>
      <c r="O103" s="156" t="s">
        <v>31</v>
      </c>
      <c r="P103" s="158"/>
    </row>
    <row r="104" spans="1:26" s="3" customFormat="1" ht="15" customHeight="1" thickBot="1" x14ac:dyDescent="0.25">
      <c r="A104" s="8"/>
      <c r="B104" s="155"/>
      <c r="C104" s="155"/>
      <c r="D104" s="155"/>
      <c r="E104" s="155"/>
      <c r="F104" s="155"/>
      <c r="G104" s="155"/>
      <c r="H104" s="155"/>
      <c r="I104" s="155"/>
      <c r="J104" s="155"/>
      <c r="K104" s="10" t="s">
        <v>32</v>
      </c>
      <c r="L104" s="10" t="s">
        <v>48</v>
      </c>
      <c r="M104" s="10" t="s">
        <v>100</v>
      </c>
      <c r="N104" s="10" t="s">
        <v>33</v>
      </c>
      <c r="O104" s="157"/>
      <c r="P104" s="159"/>
    </row>
    <row r="105" spans="1:26" ht="15" customHeight="1" thickBot="1" x14ac:dyDescent="0.3">
      <c r="A105" s="93"/>
      <c r="B105" s="160" t="s">
        <v>96</v>
      </c>
      <c r="C105" s="161"/>
      <c r="D105" s="161"/>
      <c r="E105" s="161"/>
      <c r="F105" s="162"/>
      <c r="G105" s="160" t="s">
        <v>97</v>
      </c>
      <c r="H105" s="161"/>
      <c r="I105" s="161"/>
      <c r="J105" s="161"/>
      <c r="K105" s="162"/>
      <c r="L105" s="163" t="s">
        <v>49</v>
      </c>
      <c r="M105" s="164"/>
      <c r="N105" s="164"/>
      <c r="O105" s="164"/>
      <c r="P105" s="165"/>
    </row>
    <row r="106" spans="1:26" ht="15" customHeight="1" x14ac:dyDescent="0.25">
      <c r="A106" s="93"/>
      <c r="B106" s="124"/>
      <c r="C106" s="125"/>
      <c r="D106" s="125"/>
      <c r="E106" s="125"/>
      <c r="F106" s="126"/>
      <c r="G106" s="124"/>
      <c r="H106" s="125"/>
      <c r="I106" s="125"/>
      <c r="J106" s="125"/>
      <c r="K106" s="126"/>
      <c r="L106" s="133" t="s">
        <v>98</v>
      </c>
      <c r="M106" s="134"/>
      <c r="N106" s="134"/>
      <c r="O106" s="135">
        <f>+AVERAGE(E18:E83)</f>
        <v>0.3873076923076923</v>
      </c>
      <c r="P106" s="136"/>
    </row>
    <row r="107" spans="1:26" ht="15" customHeight="1" thickBot="1" x14ac:dyDescent="0.3">
      <c r="A107" s="93"/>
      <c r="B107" s="127"/>
      <c r="C107" s="128"/>
      <c r="D107" s="128"/>
      <c r="E107" s="128"/>
      <c r="F107" s="129"/>
      <c r="G107" s="127"/>
      <c r="H107" s="128"/>
      <c r="I107" s="128"/>
      <c r="J107" s="128"/>
      <c r="K107" s="129"/>
      <c r="L107" s="137" t="s">
        <v>99</v>
      </c>
      <c r="M107" s="138"/>
      <c r="N107" s="138"/>
      <c r="O107" s="306">
        <f>MAX(E18:E83)</f>
        <v>0.67</v>
      </c>
      <c r="P107" s="307"/>
    </row>
    <row r="108" spans="1:26" ht="18.600000000000001" customHeight="1" x14ac:dyDescent="0.25">
      <c r="A108" s="94"/>
      <c r="B108" s="127"/>
      <c r="C108" s="128"/>
      <c r="D108" s="128"/>
      <c r="E108" s="128"/>
      <c r="F108" s="129"/>
      <c r="G108" s="127"/>
      <c r="H108" s="128"/>
      <c r="I108" s="128"/>
      <c r="J108" s="128"/>
      <c r="K108" s="129"/>
      <c r="L108" s="141"/>
      <c r="M108" s="142"/>
      <c r="N108" s="142"/>
      <c r="O108" s="142"/>
      <c r="P108" s="143"/>
    </row>
    <row r="109" spans="1:26" ht="42" customHeight="1" x14ac:dyDescent="0.25">
      <c r="A109" s="95"/>
      <c r="B109" s="127"/>
      <c r="C109" s="128"/>
      <c r="D109" s="128"/>
      <c r="E109" s="128"/>
      <c r="F109" s="129"/>
      <c r="G109" s="127"/>
      <c r="H109" s="128"/>
      <c r="I109" s="128"/>
      <c r="J109" s="128"/>
      <c r="K109" s="129"/>
      <c r="L109" s="144"/>
      <c r="M109" s="145"/>
      <c r="N109" s="145"/>
      <c r="O109" s="145"/>
      <c r="P109" s="146"/>
    </row>
    <row r="110" spans="1:26" ht="15" customHeight="1" thickBot="1" x14ac:dyDescent="0.3">
      <c r="A110" s="93"/>
      <c r="B110" s="127"/>
      <c r="C110" s="128"/>
      <c r="D110" s="128"/>
      <c r="E110" s="128"/>
      <c r="F110" s="129"/>
      <c r="G110" s="127"/>
      <c r="H110" s="128"/>
      <c r="I110" s="128"/>
      <c r="J110" s="128"/>
      <c r="K110" s="129"/>
      <c r="L110" s="147"/>
      <c r="M110" s="148"/>
      <c r="N110" s="148"/>
      <c r="O110" s="148"/>
      <c r="P110" s="149"/>
    </row>
    <row r="111" spans="1:26" ht="22.5" customHeight="1" thickBot="1" x14ac:dyDescent="0.3">
      <c r="A111" s="93"/>
      <c r="B111" s="127"/>
      <c r="C111" s="128"/>
      <c r="D111" s="128"/>
      <c r="E111" s="128"/>
      <c r="F111" s="129"/>
      <c r="G111" s="127"/>
      <c r="H111" s="128"/>
      <c r="I111" s="128"/>
      <c r="J111" s="128"/>
      <c r="K111" s="129"/>
      <c r="L111" s="150" t="s">
        <v>34</v>
      </c>
      <c r="M111" s="151"/>
      <c r="N111" s="151"/>
      <c r="O111" s="151"/>
      <c r="P111" s="90">
        <v>6.34</v>
      </c>
    </row>
    <row r="112" spans="1:26" ht="32.25" customHeight="1" thickBot="1" x14ac:dyDescent="0.3">
      <c r="A112" s="93"/>
      <c r="B112" s="130"/>
      <c r="C112" s="131"/>
      <c r="D112" s="131"/>
      <c r="E112" s="131"/>
      <c r="F112" s="132"/>
      <c r="G112" s="130"/>
      <c r="H112" s="131"/>
      <c r="I112" s="131"/>
      <c r="J112" s="131"/>
      <c r="K112" s="132"/>
      <c r="L112" s="152" t="s">
        <v>103</v>
      </c>
      <c r="M112" s="153"/>
      <c r="N112" s="153"/>
      <c r="O112" s="153"/>
      <c r="P112" s="90" t="s">
        <v>111</v>
      </c>
    </row>
    <row r="113" spans="1:16" ht="23.45" customHeight="1" thickBot="1" x14ac:dyDescent="0.3">
      <c r="A113" s="5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</row>
    <row r="114" spans="1:16" ht="15.75" thickBot="1" x14ac:dyDescent="0.3">
      <c r="A114" s="114" t="s">
        <v>35</v>
      </c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6"/>
    </row>
    <row r="115" spans="1:16" ht="159" customHeight="1" thickBot="1" x14ac:dyDescent="0.3">
      <c r="A115" s="4"/>
      <c r="B115" s="300"/>
      <c r="C115" s="301"/>
      <c r="D115" s="301"/>
      <c r="E115" s="301"/>
      <c r="F115" s="302"/>
      <c r="G115" s="117"/>
      <c r="H115" s="118"/>
      <c r="I115" s="118"/>
      <c r="J115" s="118"/>
      <c r="K115" s="118"/>
      <c r="L115" s="118"/>
      <c r="M115" s="118"/>
      <c r="N115" s="118"/>
      <c r="O115" s="118"/>
      <c r="P115" s="119"/>
    </row>
    <row r="116" spans="1:16" ht="21.75" customHeight="1" thickBot="1" x14ac:dyDescent="0.3">
      <c r="A116" s="4"/>
      <c r="B116" s="120" t="s">
        <v>105</v>
      </c>
      <c r="C116" s="121"/>
      <c r="D116" s="121"/>
      <c r="E116" s="121"/>
      <c r="F116" s="122"/>
      <c r="G116" s="303" t="s">
        <v>106</v>
      </c>
      <c r="H116" s="304"/>
      <c r="I116" s="304"/>
      <c r="J116" s="304"/>
      <c r="K116" s="304"/>
      <c r="L116" s="304"/>
      <c r="M116" s="304"/>
      <c r="N116" s="304"/>
      <c r="O116" s="304"/>
      <c r="P116" s="305"/>
    </row>
    <row r="117" spans="1:16" s="7" customFormat="1" ht="16.899999999999999" customHeight="1" thickBot="1" x14ac:dyDescent="0.3">
      <c r="A117" s="6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9"/>
    </row>
    <row r="118" spans="1:16" s="3" customFormat="1" ht="15.75" customHeight="1" thickBot="1" x14ac:dyDescent="0.25">
      <c r="A118" s="110" t="s">
        <v>36</v>
      </c>
      <c r="B118" s="111"/>
      <c r="C118" s="111"/>
      <c r="D118" s="111" t="s">
        <v>114</v>
      </c>
      <c r="E118" s="111"/>
      <c r="F118" s="111"/>
      <c r="G118" s="111"/>
      <c r="H118" s="111"/>
      <c r="I118" s="111"/>
      <c r="J118" s="111" t="s">
        <v>37</v>
      </c>
      <c r="K118" s="111"/>
      <c r="L118" s="111"/>
      <c r="M118" s="111"/>
      <c r="N118" s="111"/>
      <c r="O118" s="111"/>
      <c r="P118" s="112"/>
    </row>
  </sheetData>
  <mergeCells count="233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9:M83"/>
    <mergeCell ref="N79:N83"/>
    <mergeCell ref="O79:O83"/>
    <mergeCell ref="P79:P83"/>
    <mergeCell ref="B84:B89"/>
    <mergeCell ref="C84:P89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C90:H90"/>
    <mergeCell ref="I90:I91"/>
    <mergeCell ref="K90:P90"/>
    <mergeCell ref="C91:H91"/>
    <mergeCell ref="K91:P91"/>
    <mergeCell ref="B92:B102"/>
    <mergeCell ref="C92:C96"/>
    <mergeCell ref="D92:D96"/>
    <mergeCell ref="E92:E102"/>
    <mergeCell ref="K92:K102"/>
    <mergeCell ref="B103:J104"/>
    <mergeCell ref="O103:O104"/>
    <mergeCell ref="P103:P104"/>
    <mergeCell ref="B105:F105"/>
    <mergeCell ref="G105:K105"/>
    <mergeCell ref="L105:P105"/>
    <mergeCell ref="L92:L102"/>
    <mergeCell ref="M92:M102"/>
    <mergeCell ref="N92:N102"/>
    <mergeCell ref="O92:O102"/>
    <mergeCell ref="P92:P102"/>
    <mergeCell ref="C97:C102"/>
    <mergeCell ref="D97:D102"/>
    <mergeCell ref="B106:F112"/>
    <mergeCell ref="G106:K112"/>
    <mergeCell ref="L106:N106"/>
    <mergeCell ref="O106:P106"/>
    <mergeCell ref="L107:N107"/>
    <mergeCell ref="O107:P107"/>
    <mergeCell ref="L108:P110"/>
    <mergeCell ref="L111:O111"/>
    <mergeCell ref="L112:O112"/>
    <mergeCell ref="B117:P117"/>
    <mergeCell ref="A118:C118"/>
    <mergeCell ref="D118:I118"/>
    <mergeCell ref="J118:K118"/>
    <mergeCell ref="L118:P118"/>
    <mergeCell ref="B113:P113"/>
    <mergeCell ref="A114:P114"/>
    <mergeCell ref="B115:F115"/>
    <mergeCell ref="G115:P115"/>
    <mergeCell ref="B116:F116"/>
    <mergeCell ref="G116:P116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18"/>
  <sheetViews>
    <sheetView view="pageBreakPreview" zoomScaleSheetLayoutView="10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4"/>
    </row>
    <row r="2" spans="1:26" s="2" customFormat="1" ht="30" customHeight="1" x14ac:dyDescent="0.25">
      <c r="A2" s="319"/>
      <c r="B2" s="320"/>
      <c r="C2" s="321"/>
      <c r="D2" s="322"/>
      <c r="E2" s="323" t="s">
        <v>121</v>
      </c>
      <c r="F2" s="324"/>
      <c r="G2" s="324"/>
      <c r="H2" s="324"/>
      <c r="I2" s="324"/>
      <c r="J2" s="324"/>
      <c r="K2" s="324"/>
      <c r="L2" s="324"/>
      <c r="M2" s="324"/>
      <c r="N2" s="324"/>
      <c r="O2" s="325"/>
      <c r="P2" s="326"/>
    </row>
    <row r="3" spans="1:26" s="2" customFormat="1" ht="25.5" customHeight="1" thickBot="1" x14ac:dyDescent="0.3">
      <c r="A3" s="319"/>
      <c r="B3" s="327"/>
      <c r="C3" s="328"/>
      <c r="D3" s="329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2"/>
      <c r="P3" s="333"/>
    </row>
    <row r="4" spans="1:26" s="91" customFormat="1" ht="11.25" customHeight="1" thickBot="1" x14ac:dyDescent="0.3">
      <c r="A4" s="15"/>
      <c r="B4" s="294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18" customFormat="1" ht="31.5" customHeight="1" thickBot="1" x14ac:dyDescent="0.3">
      <c r="A5" s="16"/>
      <c r="B5" s="69" t="s">
        <v>0</v>
      </c>
      <c r="C5" s="295">
        <v>43108</v>
      </c>
      <c r="D5" s="296"/>
      <c r="E5" s="70" t="s">
        <v>50</v>
      </c>
      <c r="F5" s="71">
        <v>3</v>
      </c>
      <c r="G5" s="72" t="s">
        <v>1</v>
      </c>
      <c r="H5" s="297" t="s">
        <v>122</v>
      </c>
      <c r="I5" s="298"/>
      <c r="J5" s="298"/>
      <c r="K5" s="298"/>
      <c r="L5" s="298"/>
      <c r="M5" s="298"/>
      <c r="N5" s="298"/>
      <c r="O5" s="298"/>
      <c r="P5" s="299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s="77" customFormat="1" ht="21.75" customHeight="1" thickBot="1" x14ac:dyDescent="0.3">
      <c r="A6" s="73"/>
      <c r="B6" s="278" t="s">
        <v>2</v>
      </c>
      <c r="C6" s="279"/>
      <c r="D6" s="280" t="s">
        <v>115</v>
      </c>
      <c r="E6" s="281"/>
      <c r="F6" s="281"/>
      <c r="G6" s="281"/>
      <c r="H6" s="281"/>
      <c r="I6" s="282"/>
      <c r="J6" s="74" t="s">
        <v>3</v>
      </c>
      <c r="K6" s="283" t="s">
        <v>108</v>
      </c>
      <c r="L6" s="282"/>
      <c r="M6" s="283" t="s">
        <v>109</v>
      </c>
      <c r="N6" s="284"/>
      <c r="O6" s="75" t="s">
        <v>51</v>
      </c>
      <c r="P6" s="76">
        <v>1690</v>
      </c>
    </row>
    <row r="7" spans="1:26" s="18" customFormat="1" ht="21.75" customHeight="1" x14ac:dyDescent="0.25">
      <c r="B7" s="285" t="s">
        <v>52</v>
      </c>
      <c r="C7" s="286" t="s">
        <v>53</v>
      </c>
      <c r="D7" s="256"/>
      <c r="E7" s="78"/>
      <c r="F7" s="287" t="s">
        <v>54</v>
      </c>
      <c r="G7" s="288"/>
      <c r="H7" s="288"/>
      <c r="I7" s="288"/>
      <c r="J7" s="289" t="s">
        <v>55</v>
      </c>
      <c r="K7" s="290"/>
      <c r="L7" s="290"/>
      <c r="M7" s="291"/>
      <c r="N7" s="292" t="s">
        <v>101</v>
      </c>
      <c r="O7" s="293"/>
      <c r="P7" s="79" t="s">
        <v>56</v>
      </c>
    </row>
    <row r="8" spans="1:26" s="18" customFormat="1" ht="21.75" customHeight="1" thickBot="1" x14ac:dyDescent="0.3">
      <c r="B8" s="230"/>
      <c r="C8" s="247" t="s">
        <v>57</v>
      </c>
      <c r="D8" s="246"/>
      <c r="E8" s="80" t="s">
        <v>4</v>
      </c>
      <c r="F8" s="257" t="s">
        <v>5</v>
      </c>
      <c r="G8" s="258"/>
      <c r="H8" s="258"/>
      <c r="I8" s="258"/>
      <c r="J8" s="259"/>
      <c r="K8" s="260"/>
      <c r="L8" s="260"/>
      <c r="M8" s="261"/>
      <c r="N8" s="262"/>
      <c r="O8" s="263"/>
      <c r="P8" s="81"/>
    </row>
    <row r="9" spans="1:26" s="18" customFormat="1" ht="21.75" customHeight="1" x14ac:dyDescent="0.25">
      <c r="B9" s="264" t="s">
        <v>6</v>
      </c>
      <c r="C9" s="267" t="s">
        <v>58</v>
      </c>
      <c r="D9" s="268" t="s">
        <v>59</v>
      </c>
      <c r="E9" s="253"/>
      <c r="F9" s="82"/>
      <c r="G9" s="269" t="s">
        <v>7</v>
      </c>
      <c r="H9" s="270" t="s">
        <v>8</v>
      </c>
      <c r="I9" s="256"/>
      <c r="J9" s="83"/>
      <c r="K9" s="267" t="s">
        <v>60</v>
      </c>
      <c r="L9" s="271" t="s">
        <v>110</v>
      </c>
      <c r="M9" s="272"/>
      <c r="N9" s="273"/>
      <c r="O9" s="273"/>
      <c r="P9" s="274"/>
    </row>
    <row r="10" spans="1:26" s="18" customFormat="1" ht="21.75" customHeight="1" thickBot="1" x14ac:dyDescent="0.3">
      <c r="B10" s="265"/>
      <c r="C10" s="210"/>
      <c r="D10" s="251" t="s">
        <v>61</v>
      </c>
      <c r="E10" s="246"/>
      <c r="F10" s="84" t="s">
        <v>4</v>
      </c>
      <c r="G10" s="210"/>
      <c r="H10" s="251" t="s">
        <v>9</v>
      </c>
      <c r="I10" s="246"/>
      <c r="J10" s="85" t="s">
        <v>4</v>
      </c>
      <c r="K10" s="210"/>
      <c r="L10" s="275"/>
      <c r="M10" s="276"/>
      <c r="N10" s="276"/>
      <c r="O10" s="276"/>
      <c r="P10" s="277"/>
    </row>
    <row r="11" spans="1:26" s="18" customFormat="1" ht="21.75" customHeight="1" x14ac:dyDescent="0.25">
      <c r="A11" s="16"/>
      <c r="B11" s="265"/>
      <c r="C11" s="252" t="s">
        <v>10</v>
      </c>
      <c r="D11" s="253"/>
      <c r="E11" s="86">
        <v>0.48958333333333331</v>
      </c>
      <c r="F11" s="254" t="s">
        <v>11</v>
      </c>
      <c r="G11" s="253"/>
      <c r="H11" s="87">
        <v>1.22</v>
      </c>
      <c r="I11" s="255" t="s">
        <v>12</v>
      </c>
      <c r="J11" s="256"/>
      <c r="K11" s="87">
        <v>18</v>
      </c>
      <c r="L11" s="252" t="s">
        <v>13</v>
      </c>
      <c r="M11" s="253"/>
      <c r="N11" s="88">
        <v>13</v>
      </c>
      <c r="O11" s="243" t="s">
        <v>62</v>
      </c>
      <c r="P11" s="244"/>
    </row>
    <row r="12" spans="1:26" s="18" customFormat="1" ht="21.75" customHeight="1" thickBot="1" x14ac:dyDescent="0.3">
      <c r="A12" s="16"/>
      <c r="B12" s="266"/>
      <c r="C12" s="245" t="s">
        <v>14</v>
      </c>
      <c r="D12" s="246"/>
      <c r="E12" s="86">
        <v>0.58263888888888882</v>
      </c>
      <c r="F12" s="247" t="s">
        <v>15</v>
      </c>
      <c r="G12" s="246"/>
      <c r="H12" s="87">
        <v>1.22</v>
      </c>
      <c r="I12" s="248" t="s">
        <v>16</v>
      </c>
      <c r="J12" s="246"/>
      <c r="K12" s="86">
        <v>0.49027777777777781</v>
      </c>
      <c r="L12" s="245" t="s">
        <v>17</v>
      </c>
      <c r="M12" s="246"/>
      <c r="N12" s="89">
        <v>1</v>
      </c>
      <c r="O12" s="249">
        <v>1.91</v>
      </c>
      <c r="P12" s="250"/>
    </row>
    <row r="13" spans="1:26" s="18" customFormat="1" ht="21.75" customHeight="1" x14ac:dyDescent="0.25">
      <c r="A13" s="16"/>
      <c r="B13" s="228" t="s">
        <v>18</v>
      </c>
      <c r="C13" s="231" t="s">
        <v>63</v>
      </c>
      <c r="D13" s="232"/>
      <c r="E13" s="232"/>
      <c r="F13" s="233" t="s">
        <v>64</v>
      </c>
      <c r="G13" s="232"/>
      <c r="H13" s="232"/>
      <c r="I13" s="232"/>
      <c r="J13" s="233" t="s">
        <v>65</v>
      </c>
      <c r="K13" s="232"/>
      <c r="L13" s="232"/>
      <c r="M13" s="232"/>
      <c r="N13" s="234" t="s">
        <v>66</v>
      </c>
      <c r="O13" s="232"/>
      <c r="P13" s="235"/>
      <c r="Q13" s="92"/>
      <c r="R13" s="17"/>
      <c r="S13" s="17"/>
      <c r="T13" s="17"/>
      <c r="U13" s="17"/>
      <c r="V13" s="17"/>
      <c r="W13" s="17"/>
      <c r="X13" s="17"/>
      <c r="Y13" s="17"/>
      <c r="Z13" s="17"/>
    </row>
    <row r="14" spans="1:26" s="18" customFormat="1" ht="21.75" customHeight="1" x14ac:dyDescent="0.25">
      <c r="A14" s="16"/>
      <c r="B14" s="229"/>
      <c r="C14" s="236" t="s">
        <v>67</v>
      </c>
      <c r="D14" s="237"/>
      <c r="E14" s="237"/>
      <c r="F14" s="238" t="s">
        <v>68</v>
      </c>
      <c r="G14" s="237"/>
      <c r="H14" s="237"/>
      <c r="I14" s="237"/>
      <c r="J14" s="239" t="s">
        <v>69</v>
      </c>
      <c r="K14" s="237"/>
      <c r="L14" s="237"/>
      <c r="M14" s="237"/>
      <c r="N14" s="240"/>
      <c r="O14" s="225"/>
      <c r="P14" s="241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s="18" customFormat="1" ht="21.75" customHeight="1" thickBot="1" x14ac:dyDescent="0.3">
      <c r="A15" s="16"/>
      <c r="B15" s="230"/>
      <c r="C15" s="242" t="s">
        <v>70</v>
      </c>
      <c r="D15" s="212"/>
      <c r="E15" s="212"/>
      <c r="F15" s="212" t="s">
        <v>71</v>
      </c>
      <c r="G15" s="213"/>
      <c r="H15" s="213"/>
      <c r="I15" s="213"/>
      <c r="J15" s="212" t="s">
        <v>72</v>
      </c>
      <c r="K15" s="213"/>
      <c r="L15" s="213"/>
      <c r="M15" s="213"/>
      <c r="N15" s="214"/>
      <c r="O15" s="215"/>
      <c r="P15" s="216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s="18" customFormat="1" ht="21.75" customHeight="1" x14ac:dyDescent="0.25">
      <c r="A16" s="16"/>
      <c r="B16" s="217" t="s">
        <v>19</v>
      </c>
      <c r="C16" s="219" t="s">
        <v>20</v>
      </c>
      <c r="D16" s="219" t="s">
        <v>40</v>
      </c>
      <c r="E16" s="221" t="s">
        <v>21</v>
      </c>
      <c r="F16" s="222" t="s">
        <v>41</v>
      </c>
      <c r="G16" s="223"/>
      <c r="H16" s="219" t="s">
        <v>73</v>
      </c>
      <c r="I16" s="226" t="s">
        <v>74</v>
      </c>
      <c r="J16" s="19" t="s">
        <v>42</v>
      </c>
      <c r="K16" s="20"/>
      <c r="L16" s="21" t="s">
        <v>43</v>
      </c>
      <c r="M16" s="21" t="s">
        <v>44</v>
      </c>
      <c r="N16" s="21" t="s">
        <v>44</v>
      </c>
      <c r="O16" s="21" t="s">
        <v>45</v>
      </c>
      <c r="P16" s="22" t="s">
        <v>22</v>
      </c>
    </row>
    <row r="17" spans="1:26" s="18" customFormat="1" ht="21.75" customHeight="1" thickBot="1" x14ac:dyDescent="0.3">
      <c r="A17" s="23"/>
      <c r="B17" s="218"/>
      <c r="C17" s="220"/>
      <c r="D17" s="220"/>
      <c r="E17" s="220"/>
      <c r="F17" s="224"/>
      <c r="G17" s="225"/>
      <c r="H17" s="220"/>
      <c r="I17" s="227"/>
      <c r="J17" s="24" t="s">
        <v>23</v>
      </c>
      <c r="K17" s="25" t="s">
        <v>24</v>
      </c>
      <c r="L17" s="25" t="s">
        <v>46</v>
      </c>
      <c r="M17" s="25" t="s">
        <v>47</v>
      </c>
      <c r="N17" s="25" t="s">
        <v>25</v>
      </c>
      <c r="O17" s="25" t="s">
        <v>26</v>
      </c>
      <c r="P17" s="26" t="s">
        <v>27</v>
      </c>
    </row>
    <row r="18" spans="1:26" s="35" customFormat="1" ht="21.75" customHeight="1" thickBot="1" x14ac:dyDescent="0.3">
      <c r="A18" s="27"/>
      <c r="B18" s="28"/>
      <c r="C18" s="29">
        <f>+O12</f>
        <v>1.91</v>
      </c>
      <c r="D18" s="29">
        <v>6.3E-2</v>
      </c>
      <c r="E18" s="30"/>
      <c r="F18" s="31"/>
      <c r="G18" s="97"/>
      <c r="H18" s="32"/>
      <c r="I18" s="33"/>
      <c r="J18" s="96"/>
      <c r="K18" s="30"/>
      <c r="L18" s="30"/>
      <c r="M18" s="30"/>
      <c r="N18" s="30"/>
      <c r="O18" s="30"/>
      <c r="P18" s="34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s="35" customFormat="1" ht="13.5" customHeight="1" x14ac:dyDescent="0.25">
      <c r="A19" s="27"/>
      <c r="B19" s="208">
        <v>1</v>
      </c>
      <c r="C19" s="211">
        <f>+C18+$N$12</f>
        <v>2.91</v>
      </c>
      <c r="D19" s="188">
        <v>0.20100000000000001</v>
      </c>
      <c r="E19" s="188">
        <v>0.153</v>
      </c>
      <c r="F19" s="36" t="s">
        <v>75</v>
      </c>
      <c r="G19" s="37">
        <v>0</v>
      </c>
      <c r="H19" s="38"/>
      <c r="I19" s="39"/>
      <c r="J19" s="40">
        <v>5.8999999999999997E-2</v>
      </c>
      <c r="K19" s="188">
        <f>+IF(E19&lt;=0.12,(J21),(IF(E19&lt;0.16,((J20+2*J21+J22)/4),IF(E19&gt;=0.16,((J19+3*J20+2*J21+3*J22+J23)/10)))))</f>
        <v>8.6249999999999993E-2</v>
      </c>
      <c r="L19" s="188">
        <f>ROUND(+(D18+D19)/2*(C19-C18),3)</f>
        <v>0.13200000000000001</v>
      </c>
      <c r="M19" s="188">
        <f>ROUND(+K19*L19,4)</f>
        <v>1.14E-2</v>
      </c>
      <c r="N19" s="191">
        <f>ROUND(+M19/$M$103*100,2)</f>
        <v>0.8</v>
      </c>
      <c r="O19" s="192"/>
      <c r="P19" s="193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s="35" customFormat="1" ht="13.5" customHeight="1" x14ac:dyDescent="0.25">
      <c r="A20" s="27"/>
      <c r="B20" s="209"/>
      <c r="C20" s="189"/>
      <c r="D20" s="189"/>
      <c r="E20" s="189"/>
      <c r="F20" s="41" t="s">
        <v>76</v>
      </c>
      <c r="G20" s="42">
        <f>IF(E19&lt;0.125,"NA",IF(0.125&lt;=E19,(0.2*E19)))</f>
        <v>3.0600000000000002E-2</v>
      </c>
      <c r="H20" s="43"/>
      <c r="I20" s="44"/>
      <c r="J20" s="45">
        <v>8.5000000000000006E-2</v>
      </c>
      <c r="K20" s="189"/>
      <c r="L20" s="189"/>
      <c r="M20" s="189"/>
      <c r="N20" s="189"/>
      <c r="O20" s="189"/>
      <c r="P20" s="194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s="35" customFormat="1" ht="13.5" customHeight="1" x14ac:dyDescent="0.25">
      <c r="A21" s="27"/>
      <c r="B21" s="209"/>
      <c r="C21" s="189"/>
      <c r="D21" s="189"/>
      <c r="E21" s="189"/>
      <c r="F21" s="41" t="s">
        <v>77</v>
      </c>
      <c r="G21" s="42">
        <f>+E19*0.4</f>
        <v>6.1200000000000004E-2</v>
      </c>
      <c r="H21" s="43"/>
      <c r="I21" s="44"/>
      <c r="J21" s="45">
        <v>8.6999999999999994E-2</v>
      </c>
      <c r="K21" s="189"/>
      <c r="L21" s="189"/>
      <c r="M21" s="189"/>
      <c r="N21" s="189"/>
      <c r="O21" s="189"/>
      <c r="P21" s="194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s="35" customFormat="1" ht="13.5" customHeight="1" x14ac:dyDescent="0.25">
      <c r="A22" s="27"/>
      <c r="B22" s="209"/>
      <c r="C22" s="189"/>
      <c r="D22" s="189"/>
      <c r="E22" s="189"/>
      <c r="F22" s="41" t="s">
        <v>78</v>
      </c>
      <c r="G22" s="42">
        <f>IF(E19&lt;0.125,"NA",IF(0.125&lt;=E19,(0.8*E19)))</f>
        <v>0.12240000000000001</v>
      </c>
      <c r="H22" s="43"/>
      <c r="I22" s="44"/>
      <c r="J22" s="45">
        <v>8.5999999999999993E-2</v>
      </c>
      <c r="K22" s="189"/>
      <c r="L22" s="189"/>
      <c r="M22" s="189"/>
      <c r="N22" s="189"/>
      <c r="O22" s="189"/>
      <c r="P22" s="194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s="35" customFormat="1" ht="13.5" customHeight="1" thickBot="1" x14ac:dyDescent="0.3">
      <c r="A23" s="27"/>
      <c r="B23" s="210"/>
      <c r="C23" s="190"/>
      <c r="D23" s="190"/>
      <c r="E23" s="190"/>
      <c r="F23" s="46" t="s">
        <v>79</v>
      </c>
      <c r="G23" s="47">
        <f>+E19</f>
        <v>0.153</v>
      </c>
      <c r="H23" s="48"/>
      <c r="I23" s="49"/>
      <c r="J23" s="50"/>
      <c r="K23" s="190"/>
      <c r="L23" s="190"/>
      <c r="M23" s="190"/>
      <c r="N23" s="190"/>
      <c r="O23" s="190"/>
      <c r="P23" s="195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s="35" customFormat="1" ht="13.5" customHeight="1" x14ac:dyDescent="0.25">
      <c r="A24" s="27"/>
      <c r="B24" s="208">
        <v>2</v>
      </c>
      <c r="C24" s="211">
        <f>+C19+$N$12</f>
        <v>3.91</v>
      </c>
      <c r="D24" s="188">
        <v>0.115</v>
      </c>
      <c r="E24" s="188">
        <v>0.17699999999999999</v>
      </c>
      <c r="F24" s="36" t="s">
        <v>75</v>
      </c>
      <c r="G24" s="37">
        <v>0</v>
      </c>
      <c r="H24" s="38"/>
      <c r="I24" s="39"/>
      <c r="J24" s="40">
        <v>0.308</v>
      </c>
      <c r="K24" s="188">
        <f>+IF(E24&lt;=0.12,(J26),(IF(E24&lt;0.16,((J25+2*J26+J27)/4),IF(E24&gt;=0.16,((J24+3*J25+2*J26+3*J27+J28)/10)))))</f>
        <v>0.33860000000000001</v>
      </c>
      <c r="L24" s="188">
        <f>ROUND(+(D19+D24)/2*(C24-C19),3)</f>
        <v>0.158</v>
      </c>
      <c r="M24" s="188">
        <f>ROUND(+K24*L24,4)</f>
        <v>5.3499999999999999E-2</v>
      </c>
      <c r="N24" s="191">
        <f>ROUND(+M24/$M$103*100,2)</f>
        <v>3.76</v>
      </c>
      <c r="O24" s="192"/>
      <c r="P24" s="193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s="35" customFormat="1" ht="13.5" customHeight="1" x14ac:dyDescent="0.25">
      <c r="A25" s="27"/>
      <c r="B25" s="209"/>
      <c r="C25" s="189"/>
      <c r="D25" s="189"/>
      <c r="E25" s="189"/>
      <c r="F25" s="41" t="s">
        <v>76</v>
      </c>
      <c r="G25" s="42">
        <f t="shared" ref="G25" si="0">IF(E24&lt;0.125,"NA",IF(0.125&lt;=E24,(0.2*E24)))</f>
        <v>3.5400000000000001E-2</v>
      </c>
      <c r="H25" s="43"/>
      <c r="I25" s="44"/>
      <c r="J25" s="45">
        <v>0.33900000000000002</v>
      </c>
      <c r="K25" s="189"/>
      <c r="L25" s="189"/>
      <c r="M25" s="189"/>
      <c r="N25" s="189"/>
      <c r="O25" s="189"/>
      <c r="P25" s="194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s="35" customFormat="1" ht="13.5" customHeight="1" x14ac:dyDescent="0.25">
      <c r="A26" s="27"/>
      <c r="B26" s="209"/>
      <c r="C26" s="189"/>
      <c r="D26" s="189"/>
      <c r="E26" s="189"/>
      <c r="F26" s="41" t="s">
        <v>77</v>
      </c>
      <c r="G26" s="42">
        <f t="shared" ref="G26" si="1">+E24*0.4</f>
        <v>7.0800000000000002E-2</v>
      </c>
      <c r="H26" s="43"/>
      <c r="I26" s="44"/>
      <c r="J26" s="45">
        <v>0.34499999999999997</v>
      </c>
      <c r="K26" s="189"/>
      <c r="L26" s="189"/>
      <c r="M26" s="189"/>
      <c r="N26" s="189"/>
      <c r="O26" s="189"/>
      <c r="P26" s="194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s="35" customFormat="1" ht="13.5" customHeight="1" x14ac:dyDescent="0.25">
      <c r="A27" s="27"/>
      <c r="B27" s="209"/>
      <c r="C27" s="189"/>
      <c r="D27" s="189"/>
      <c r="E27" s="189"/>
      <c r="F27" s="41" t="s">
        <v>78</v>
      </c>
      <c r="G27" s="42">
        <f t="shared" ref="G27" si="2">IF(E24&lt;0.125,"NA",IF(0.125&lt;=E24,(0.8*E24)))</f>
        <v>0.1416</v>
      </c>
      <c r="H27" s="43"/>
      <c r="I27" s="44"/>
      <c r="J27" s="45">
        <v>0.34599999999999997</v>
      </c>
      <c r="K27" s="189"/>
      <c r="L27" s="189"/>
      <c r="M27" s="189"/>
      <c r="N27" s="189"/>
      <c r="O27" s="189"/>
      <c r="P27" s="194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s="35" customFormat="1" ht="13.5" customHeight="1" thickBot="1" x14ac:dyDescent="0.3">
      <c r="A28" s="27"/>
      <c r="B28" s="210"/>
      <c r="C28" s="190"/>
      <c r="D28" s="190"/>
      <c r="E28" s="190"/>
      <c r="F28" s="46" t="s">
        <v>79</v>
      </c>
      <c r="G28" s="47">
        <f t="shared" ref="G28" si="3">+E24</f>
        <v>0.17699999999999999</v>
      </c>
      <c r="H28" s="48"/>
      <c r="I28" s="49"/>
      <c r="J28" s="50">
        <v>0.33300000000000002</v>
      </c>
      <c r="K28" s="190"/>
      <c r="L28" s="190"/>
      <c r="M28" s="190"/>
      <c r="N28" s="190"/>
      <c r="O28" s="190"/>
      <c r="P28" s="195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s="35" customFormat="1" ht="13.5" customHeight="1" x14ac:dyDescent="0.25">
      <c r="A29" s="27"/>
      <c r="B29" s="208">
        <v>3</v>
      </c>
      <c r="C29" s="211">
        <f>+C24+$N$12</f>
        <v>4.91</v>
      </c>
      <c r="D29" s="188">
        <v>0.17899999999999999</v>
      </c>
      <c r="E29" s="188">
        <v>0.29399999999999998</v>
      </c>
      <c r="F29" s="36" t="s">
        <v>75</v>
      </c>
      <c r="G29" s="37">
        <v>0</v>
      </c>
      <c r="H29" s="38"/>
      <c r="I29" s="39"/>
      <c r="J29" s="40">
        <v>0.315</v>
      </c>
      <c r="K29" s="188">
        <f t="shared" ref="K29" si="4">+IF(E29&lt;=0.12,(J31),(IF(E29&lt;0.16,((J30+2*J31+J32)/4),IF(E29&gt;=0.16,((J29+3*J30+2*J31+3*J32+J33)/10)))))</f>
        <v>0.32730000000000004</v>
      </c>
      <c r="L29" s="188">
        <f t="shared" ref="L29" si="5">ROUND(+(D24+D29)/2*(C29-C24),3)</f>
        <v>0.14699999999999999</v>
      </c>
      <c r="M29" s="188">
        <f t="shared" ref="M29" si="6">ROUND(+K29*L29,4)</f>
        <v>4.8099999999999997E-2</v>
      </c>
      <c r="N29" s="191">
        <f t="shared" ref="N29" si="7">ROUND(+M29/$M$103*100,2)</f>
        <v>3.38</v>
      </c>
      <c r="O29" s="192"/>
      <c r="P29" s="193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s="35" customFormat="1" ht="13.5" customHeight="1" x14ac:dyDescent="0.25">
      <c r="A30" s="27"/>
      <c r="B30" s="209"/>
      <c r="C30" s="189"/>
      <c r="D30" s="189"/>
      <c r="E30" s="189"/>
      <c r="F30" s="41" t="s">
        <v>76</v>
      </c>
      <c r="G30" s="42">
        <f t="shared" ref="G30" si="8">IF(E29&lt;0.125,"NA",IF(0.125&lt;=E29,(0.2*E29)))</f>
        <v>5.8799999999999998E-2</v>
      </c>
      <c r="H30" s="43"/>
      <c r="I30" s="44"/>
      <c r="J30" s="45">
        <v>0.33100000000000002</v>
      </c>
      <c r="K30" s="189"/>
      <c r="L30" s="189"/>
      <c r="M30" s="189"/>
      <c r="N30" s="189"/>
      <c r="O30" s="189"/>
      <c r="P30" s="194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s="35" customFormat="1" ht="13.5" customHeight="1" x14ac:dyDescent="0.25">
      <c r="A31" s="27"/>
      <c r="B31" s="209"/>
      <c r="C31" s="189"/>
      <c r="D31" s="189"/>
      <c r="E31" s="189"/>
      <c r="F31" s="41" t="s">
        <v>77</v>
      </c>
      <c r="G31" s="42">
        <f t="shared" ref="G31" si="9">+E29*0.4</f>
        <v>0.1176</v>
      </c>
      <c r="H31" s="43"/>
      <c r="I31" s="44"/>
      <c r="J31" s="45">
        <v>0.32200000000000001</v>
      </c>
      <c r="K31" s="189"/>
      <c r="L31" s="189"/>
      <c r="M31" s="189"/>
      <c r="N31" s="189"/>
      <c r="O31" s="189"/>
      <c r="P31" s="194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s="35" customFormat="1" ht="13.5" customHeight="1" x14ac:dyDescent="0.25">
      <c r="A32" s="27"/>
      <c r="B32" s="209"/>
      <c r="C32" s="189"/>
      <c r="D32" s="189"/>
      <c r="E32" s="189"/>
      <c r="F32" s="41" t="s">
        <v>78</v>
      </c>
      <c r="G32" s="42">
        <f t="shared" ref="G32" si="10">IF(E29&lt;0.125,"NA",IF(0.125&lt;=E29,(0.8*E29)))</f>
        <v>0.23519999999999999</v>
      </c>
      <c r="H32" s="43"/>
      <c r="I32" s="44"/>
      <c r="J32" s="45">
        <v>0.33800000000000002</v>
      </c>
      <c r="K32" s="189"/>
      <c r="L32" s="189"/>
      <c r="M32" s="189"/>
      <c r="N32" s="189"/>
      <c r="O32" s="189"/>
      <c r="P32" s="194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s="35" customFormat="1" ht="13.5" customHeight="1" thickBot="1" x14ac:dyDescent="0.3">
      <c r="A33" s="27"/>
      <c r="B33" s="210"/>
      <c r="C33" s="190"/>
      <c r="D33" s="190"/>
      <c r="E33" s="190"/>
      <c r="F33" s="46" t="s">
        <v>79</v>
      </c>
      <c r="G33" s="47">
        <f t="shared" ref="G33" si="11">+E29</f>
        <v>0.29399999999999998</v>
      </c>
      <c r="H33" s="48"/>
      <c r="I33" s="49"/>
      <c r="J33" s="50">
        <v>0.307</v>
      </c>
      <c r="K33" s="190"/>
      <c r="L33" s="190"/>
      <c r="M33" s="190"/>
      <c r="N33" s="190"/>
      <c r="O33" s="190"/>
      <c r="P33" s="195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s="35" customFormat="1" ht="13.5" customHeight="1" x14ac:dyDescent="0.25">
      <c r="A34" s="27"/>
      <c r="B34" s="208">
        <v>4</v>
      </c>
      <c r="C34" s="211">
        <f>+C29+$N$12</f>
        <v>5.91</v>
      </c>
      <c r="D34" s="188">
        <v>0.39500000000000002</v>
      </c>
      <c r="E34" s="188">
        <v>0.23400000000000001</v>
      </c>
      <c r="F34" s="36" t="s">
        <v>75</v>
      </c>
      <c r="G34" s="37">
        <v>0</v>
      </c>
      <c r="H34" s="38"/>
      <c r="I34" s="39"/>
      <c r="J34" s="40">
        <v>0.253</v>
      </c>
      <c r="K34" s="188">
        <f t="shared" ref="K34" si="12">+IF(E34&lt;=0.12,(J36),(IF(E34&lt;0.16,((J35+2*J36+J37)/4),IF(E34&gt;=0.16,((J34+3*J35+2*J36+3*J37+J38)/10)))))</f>
        <v>0.32050000000000001</v>
      </c>
      <c r="L34" s="188">
        <f t="shared" ref="L34" si="13">ROUND(+(D29+D34)/2*(C34-C29),3)</f>
        <v>0.28699999999999998</v>
      </c>
      <c r="M34" s="188">
        <f t="shared" ref="M34" si="14">ROUND(+K34*L34,4)</f>
        <v>9.1999999999999998E-2</v>
      </c>
      <c r="N34" s="191">
        <f t="shared" ref="N34" si="15">ROUND(+M34/$M$103*100,2)</f>
        <v>6.46</v>
      </c>
      <c r="O34" s="192"/>
      <c r="P34" s="193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s="35" customFormat="1" ht="13.5" customHeight="1" x14ac:dyDescent="0.25">
      <c r="A35" s="27"/>
      <c r="B35" s="209"/>
      <c r="C35" s="189"/>
      <c r="D35" s="189"/>
      <c r="E35" s="189"/>
      <c r="F35" s="41" t="s">
        <v>76</v>
      </c>
      <c r="G35" s="42">
        <f t="shared" ref="G35" si="16">IF(E34&lt;0.125,"NA",IF(0.125&lt;=E34,(0.2*E34)))</f>
        <v>4.6800000000000008E-2</v>
      </c>
      <c r="H35" s="43"/>
      <c r="I35" s="44"/>
      <c r="J35" s="45">
        <v>0.307</v>
      </c>
      <c r="K35" s="189"/>
      <c r="L35" s="189"/>
      <c r="M35" s="189"/>
      <c r="N35" s="189"/>
      <c r="O35" s="189"/>
      <c r="P35" s="194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s="35" customFormat="1" ht="13.5" customHeight="1" x14ac:dyDescent="0.25">
      <c r="A36" s="27"/>
      <c r="B36" s="209"/>
      <c r="C36" s="189"/>
      <c r="D36" s="189"/>
      <c r="E36" s="189"/>
      <c r="F36" s="41" t="s">
        <v>77</v>
      </c>
      <c r="G36" s="42">
        <f t="shared" ref="G36" si="17">+E34*0.4</f>
        <v>9.3600000000000017E-2</v>
      </c>
      <c r="H36" s="43"/>
      <c r="I36" s="44"/>
      <c r="J36" s="45">
        <v>0.32900000000000001</v>
      </c>
      <c r="K36" s="189"/>
      <c r="L36" s="189"/>
      <c r="M36" s="189"/>
      <c r="N36" s="189"/>
      <c r="O36" s="189"/>
      <c r="P36" s="194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s="35" customFormat="1" ht="13.5" customHeight="1" x14ac:dyDescent="0.25">
      <c r="A37" s="27"/>
      <c r="B37" s="209"/>
      <c r="C37" s="189"/>
      <c r="D37" s="189"/>
      <c r="E37" s="189"/>
      <c r="F37" s="41" t="s">
        <v>78</v>
      </c>
      <c r="G37" s="42">
        <f t="shared" ref="G37" si="18">IF(E34&lt;0.125,"NA",IF(0.125&lt;=E34,(0.8*E34)))</f>
        <v>0.18720000000000003</v>
      </c>
      <c r="H37" s="43"/>
      <c r="I37" s="44"/>
      <c r="J37" s="45">
        <v>0.34499999999999997</v>
      </c>
      <c r="K37" s="189"/>
      <c r="L37" s="189"/>
      <c r="M37" s="189"/>
      <c r="N37" s="189"/>
      <c r="O37" s="189"/>
      <c r="P37" s="194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s="35" customFormat="1" ht="13.5" customHeight="1" thickBot="1" x14ac:dyDescent="0.3">
      <c r="A38" s="27"/>
      <c r="B38" s="210"/>
      <c r="C38" s="190"/>
      <c r="D38" s="190"/>
      <c r="E38" s="190"/>
      <c r="F38" s="46" t="s">
        <v>79</v>
      </c>
      <c r="G38" s="47">
        <f t="shared" ref="G38" si="19">+E34</f>
        <v>0.23400000000000001</v>
      </c>
      <c r="H38" s="48"/>
      <c r="I38" s="49"/>
      <c r="J38" s="50">
        <v>0.33800000000000002</v>
      </c>
      <c r="K38" s="190"/>
      <c r="L38" s="190"/>
      <c r="M38" s="190"/>
      <c r="N38" s="190"/>
      <c r="O38" s="190"/>
      <c r="P38" s="195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s="35" customFormat="1" ht="13.5" customHeight="1" x14ac:dyDescent="0.25">
      <c r="A39" s="27"/>
      <c r="B39" s="208">
        <v>5</v>
      </c>
      <c r="C39" s="211">
        <f>+C34+$N$12</f>
        <v>6.91</v>
      </c>
      <c r="D39" s="188">
        <v>0.16200000000000001</v>
      </c>
      <c r="E39" s="188">
        <v>0.46600000000000003</v>
      </c>
      <c r="F39" s="36" t="s">
        <v>75</v>
      </c>
      <c r="G39" s="37">
        <v>0</v>
      </c>
      <c r="H39" s="38"/>
      <c r="I39" s="39"/>
      <c r="J39" s="40">
        <v>0.217</v>
      </c>
      <c r="K39" s="188">
        <f t="shared" ref="K39" si="20">+IF(E39&lt;=0.12,(J41),(IF(E39&lt;0.16,((J40+2*J41+J42)/4),IF(E39&gt;=0.16,((J39+3*J40+2*J41+3*J42+J43)/10)))))</f>
        <v>0.33419999999999994</v>
      </c>
      <c r="L39" s="188">
        <f t="shared" ref="L39" si="21">ROUND(+(D34+D39)/2*(C39-C34),3)</f>
        <v>0.27900000000000003</v>
      </c>
      <c r="M39" s="188">
        <f t="shared" ref="M39" si="22">ROUND(+K39*L39,4)</f>
        <v>9.3200000000000005E-2</v>
      </c>
      <c r="N39" s="191">
        <f t="shared" ref="N39" si="23">ROUND(+M39/$M$103*100,2)</f>
        <v>6.54</v>
      </c>
      <c r="O39" s="192"/>
      <c r="P39" s="193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s="35" customFormat="1" ht="13.5" customHeight="1" x14ac:dyDescent="0.25">
      <c r="A40" s="27"/>
      <c r="B40" s="209"/>
      <c r="C40" s="189"/>
      <c r="D40" s="189"/>
      <c r="E40" s="189"/>
      <c r="F40" s="41" t="s">
        <v>76</v>
      </c>
      <c r="G40" s="42">
        <f t="shared" ref="G40" si="24">IF(E39&lt;0.125,"NA",IF(0.125&lt;=E39,(0.2*E39)))</f>
        <v>9.3200000000000005E-2</v>
      </c>
      <c r="H40" s="43"/>
      <c r="I40" s="44"/>
      <c r="J40" s="45">
        <v>0.24</v>
      </c>
      <c r="K40" s="189"/>
      <c r="L40" s="189"/>
      <c r="M40" s="189"/>
      <c r="N40" s="189"/>
      <c r="O40" s="189"/>
      <c r="P40" s="194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s="35" customFormat="1" ht="13.5" customHeight="1" x14ac:dyDescent="0.25">
      <c r="A41" s="27"/>
      <c r="B41" s="209"/>
      <c r="C41" s="189"/>
      <c r="D41" s="189"/>
      <c r="E41" s="189"/>
      <c r="F41" s="41" t="s">
        <v>77</v>
      </c>
      <c r="G41" s="42">
        <f t="shared" ref="G41" si="25">+E39*0.4</f>
        <v>0.18640000000000001</v>
      </c>
      <c r="H41" s="43"/>
      <c r="I41" s="44"/>
      <c r="J41" s="45">
        <v>0.30399999999999999</v>
      </c>
      <c r="K41" s="189"/>
      <c r="L41" s="189"/>
      <c r="M41" s="189"/>
      <c r="N41" s="189"/>
      <c r="O41" s="189"/>
      <c r="P41" s="194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s="35" customFormat="1" ht="13.5" customHeight="1" x14ac:dyDescent="0.25">
      <c r="A42" s="27"/>
      <c r="B42" s="209"/>
      <c r="C42" s="189"/>
      <c r="D42" s="189"/>
      <c r="E42" s="189"/>
      <c r="F42" s="41" t="s">
        <v>78</v>
      </c>
      <c r="G42" s="42">
        <f t="shared" ref="G42" si="26">IF(E39&lt;0.125,"NA",IF(0.125&lt;=E39,(0.8*E39)))</f>
        <v>0.37280000000000002</v>
      </c>
      <c r="H42" s="43"/>
      <c r="I42" s="44"/>
      <c r="J42" s="45">
        <v>0.39800000000000002</v>
      </c>
      <c r="K42" s="189"/>
      <c r="L42" s="189"/>
      <c r="M42" s="189"/>
      <c r="N42" s="189"/>
      <c r="O42" s="189"/>
      <c r="P42" s="194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s="35" customFormat="1" ht="13.5" customHeight="1" thickBot="1" x14ac:dyDescent="0.3">
      <c r="A43" s="27"/>
      <c r="B43" s="210"/>
      <c r="C43" s="190"/>
      <c r="D43" s="190"/>
      <c r="E43" s="190"/>
      <c r="F43" s="46" t="s">
        <v>79</v>
      </c>
      <c r="G43" s="47">
        <f t="shared" ref="G43" si="27">+E39</f>
        <v>0.46600000000000003</v>
      </c>
      <c r="H43" s="48"/>
      <c r="I43" s="49"/>
      <c r="J43" s="50">
        <v>0.60299999999999998</v>
      </c>
      <c r="K43" s="190"/>
      <c r="L43" s="190"/>
      <c r="M43" s="190"/>
      <c r="N43" s="190"/>
      <c r="O43" s="190"/>
      <c r="P43" s="195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s="35" customFormat="1" ht="13.5" customHeight="1" x14ac:dyDescent="0.25">
      <c r="A44" s="27"/>
      <c r="B44" s="208">
        <v>6</v>
      </c>
      <c r="C44" s="211">
        <f t="shared" ref="C44" si="28">+C39+$N$12</f>
        <v>7.91</v>
      </c>
      <c r="D44" s="188">
        <v>0.22700000000000001</v>
      </c>
      <c r="E44" s="188">
        <v>0.19600000000000001</v>
      </c>
      <c r="F44" s="36" t="s">
        <v>75</v>
      </c>
      <c r="G44" s="37">
        <v>1</v>
      </c>
      <c r="H44" s="38"/>
      <c r="I44" s="39"/>
      <c r="J44" s="40">
        <v>0.24399999999999999</v>
      </c>
      <c r="K44" s="188">
        <f t="shared" ref="K44" si="29">+IF(E44&lt;=0.12,(J46),(IF(E44&lt;0.16,((J45+2*J46+J47)/4),IF(E44&gt;=0.16,((J44+3*J45+2*J46+3*J47+J48)/10)))))</f>
        <v>0.11179999999999998</v>
      </c>
      <c r="L44" s="188">
        <f t="shared" ref="L44" si="30">ROUND(+(D39+D44)/2*(C44-C39),3)</f>
        <v>0.19500000000000001</v>
      </c>
      <c r="M44" s="188">
        <f t="shared" ref="M44" si="31">ROUND(+K44*L44,4)</f>
        <v>2.18E-2</v>
      </c>
      <c r="N44" s="191">
        <f t="shared" ref="N44" si="32">ROUND(+M44/$M$103*100,2)</f>
        <v>1.53</v>
      </c>
      <c r="O44" s="192"/>
      <c r="P44" s="193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s="35" customFormat="1" ht="13.5" customHeight="1" x14ac:dyDescent="0.25">
      <c r="A45" s="27"/>
      <c r="B45" s="209"/>
      <c r="C45" s="189"/>
      <c r="D45" s="189"/>
      <c r="E45" s="189"/>
      <c r="F45" s="41" t="s">
        <v>76</v>
      </c>
      <c r="G45" s="42">
        <f t="shared" ref="G45" si="33">IF(E44&lt;0.125,"NA",IF(0.125&lt;=E44,(0.2*E44)))</f>
        <v>3.9200000000000006E-2</v>
      </c>
      <c r="H45" s="43"/>
      <c r="I45" s="44"/>
      <c r="J45" s="45">
        <v>2.3E-2</v>
      </c>
      <c r="K45" s="189"/>
      <c r="L45" s="189"/>
      <c r="M45" s="189"/>
      <c r="N45" s="189"/>
      <c r="O45" s="189"/>
      <c r="P45" s="194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s="35" customFormat="1" ht="13.5" customHeight="1" x14ac:dyDescent="0.25">
      <c r="A46" s="27"/>
      <c r="B46" s="209"/>
      <c r="C46" s="189"/>
      <c r="D46" s="189"/>
      <c r="E46" s="189"/>
      <c r="F46" s="41" t="s">
        <v>77</v>
      </c>
      <c r="G46" s="42">
        <f t="shared" ref="G46" si="34">+E44*0.4</f>
        <v>7.8400000000000011E-2</v>
      </c>
      <c r="H46" s="43"/>
      <c r="I46" s="44"/>
      <c r="J46" s="45">
        <v>5.6000000000000001E-2</v>
      </c>
      <c r="K46" s="189"/>
      <c r="L46" s="189"/>
      <c r="M46" s="189"/>
      <c r="N46" s="189"/>
      <c r="O46" s="189"/>
      <c r="P46" s="194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s="35" customFormat="1" ht="13.5" customHeight="1" x14ac:dyDescent="0.25">
      <c r="A47" s="27"/>
      <c r="B47" s="209"/>
      <c r="C47" s="189"/>
      <c r="D47" s="189"/>
      <c r="E47" s="189"/>
      <c r="F47" s="41" t="s">
        <v>78</v>
      </c>
      <c r="G47" s="42">
        <f t="shared" ref="G47" si="35">IF(E44&lt;0.125,"NA",IF(0.125&lt;=E44,(0.8*E44)))</f>
        <v>0.15680000000000002</v>
      </c>
      <c r="H47" s="43"/>
      <c r="I47" s="44"/>
      <c r="J47" s="45">
        <v>3.2000000000000001E-2</v>
      </c>
      <c r="K47" s="189"/>
      <c r="L47" s="189"/>
      <c r="M47" s="189"/>
      <c r="N47" s="189"/>
      <c r="O47" s="189"/>
      <c r="P47" s="194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s="35" customFormat="1" ht="13.5" customHeight="1" thickBot="1" x14ac:dyDescent="0.3">
      <c r="A48" s="27"/>
      <c r="B48" s="210"/>
      <c r="C48" s="190"/>
      <c r="D48" s="190"/>
      <c r="E48" s="190"/>
      <c r="F48" s="46" t="s">
        <v>79</v>
      </c>
      <c r="G48" s="47">
        <f t="shared" ref="G48" si="36">+E44</f>
        <v>0.19600000000000001</v>
      </c>
      <c r="H48" s="48"/>
      <c r="I48" s="49"/>
      <c r="J48" s="50">
        <v>0.59699999999999998</v>
      </c>
      <c r="K48" s="190"/>
      <c r="L48" s="190"/>
      <c r="M48" s="190"/>
      <c r="N48" s="190"/>
      <c r="O48" s="190"/>
      <c r="P48" s="195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s="35" customFormat="1" ht="13.5" customHeight="1" x14ac:dyDescent="0.25">
      <c r="A49" s="27"/>
      <c r="B49" s="208">
        <v>7</v>
      </c>
      <c r="C49" s="211">
        <f t="shared" ref="C49" si="37">+C44+$N$12</f>
        <v>8.91</v>
      </c>
      <c r="D49" s="188">
        <v>0.46200000000000002</v>
      </c>
      <c r="E49" s="188">
        <v>0.32</v>
      </c>
      <c r="F49" s="36" t="s">
        <v>75</v>
      </c>
      <c r="G49" s="37">
        <v>2</v>
      </c>
      <c r="H49" s="38"/>
      <c r="I49" s="39"/>
      <c r="J49" s="40">
        <v>0.30599999999999999</v>
      </c>
      <c r="K49" s="188">
        <f t="shared" ref="K49" si="38">+IF(E49&lt;=0.12,(J51),(IF(E49&lt;0.16,((J50+2*J51+J52)/4),IF(E49&gt;=0.16,((J49+3*J50+2*J51+3*J52+J53)/10)))))</f>
        <v>0.45540000000000003</v>
      </c>
      <c r="L49" s="188">
        <f t="shared" ref="L49" si="39">ROUND(+(D44+D49)/2*(C49-C44),3)</f>
        <v>0.34499999999999997</v>
      </c>
      <c r="M49" s="188">
        <f t="shared" ref="M49" si="40">ROUND(+K49*L49,4)</f>
        <v>0.15709999999999999</v>
      </c>
      <c r="N49" s="191">
        <f t="shared" ref="N49" si="41">ROUND(+M49/$M$103*100,2)</f>
        <v>11.03</v>
      </c>
      <c r="O49" s="192"/>
      <c r="P49" s="193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s="35" customFormat="1" ht="13.5" customHeight="1" x14ac:dyDescent="0.25">
      <c r="A50" s="27"/>
      <c r="B50" s="209"/>
      <c r="C50" s="189"/>
      <c r="D50" s="189"/>
      <c r="E50" s="189"/>
      <c r="F50" s="41" t="s">
        <v>76</v>
      </c>
      <c r="G50" s="42">
        <f t="shared" ref="G50" si="42">IF(E49&lt;0.125,"NA",IF(0.125&lt;=E49,(0.2*E49)))</f>
        <v>6.4000000000000001E-2</v>
      </c>
      <c r="H50" s="43"/>
      <c r="I50" s="44"/>
      <c r="J50" s="45">
        <v>0.33200000000000002</v>
      </c>
      <c r="K50" s="189"/>
      <c r="L50" s="189"/>
      <c r="M50" s="189"/>
      <c r="N50" s="189"/>
      <c r="O50" s="189"/>
      <c r="P50" s="194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s="35" customFormat="1" ht="13.5" customHeight="1" x14ac:dyDescent="0.25">
      <c r="A51" s="27"/>
      <c r="B51" s="209"/>
      <c r="C51" s="189"/>
      <c r="D51" s="189"/>
      <c r="E51" s="189"/>
      <c r="F51" s="41" t="s">
        <v>77</v>
      </c>
      <c r="G51" s="42">
        <f t="shared" ref="G51" si="43">+E49*0.4</f>
        <v>0.128</v>
      </c>
      <c r="H51" s="43"/>
      <c r="I51" s="44"/>
      <c r="J51" s="45">
        <v>0.49299999999999999</v>
      </c>
      <c r="K51" s="189"/>
      <c r="L51" s="189"/>
      <c r="M51" s="189"/>
      <c r="N51" s="189"/>
      <c r="O51" s="189"/>
      <c r="P51" s="194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s="35" customFormat="1" ht="13.5" customHeight="1" x14ac:dyDescent="0.25">
      <c r="A52" s="27"/>
      <c r="B52" s="209"/>
      <c r="C52" s="189"/>
      <c r="D52" s="189"/>
      <c r="E52" s="189"/>
      <c r="F52" s="41" t="s">
        <v>78</v>
      </c>
      <c r="G52" s="42">
        <f t="shared" ref="G52" si="44">IF(E49&lt;0.125,"NA",IF(0.125&lt;=E49,(0.8*E49)))</f>
        <v>0.25600000000000001</v>
      </c>
      <c r="H52" s="43"/>
      <c r="I52" s="44"/>
      <c r="J52" s="45">
        <v>0.55800000000000005</v>
      </c>
      <c r="K52" s="189"/>
      <c r="L52" s="189"/>
      <c r="M52" s="189"/>
      <c r="N52" s="189"/>
      <c r="O52" s="189"/>
      <c r="P52" s="194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s="35" customFormat="1" ht="13.5" customHeight="1" thickBot="1" x14ac:dyDescent="0.3">
      <c r="A53" s="27"/>
      <c r="B53" s="210"/>
      <c r="C53" s="190"/>
      <c r="D53" s="190"/>
      <c r="E53" s="190"/>
      <c r="F53" s="46" t="s">
        <v>79</v>
      </c>
      <c r="G53" s="47">
        <f t="shared" ref="G53" si="45">+E49</f>
        <v>0.32</v>
      </c>
      <c r="H53" s="48"/>
      <c r="I53" s="49"/>
      <c r="J53" s="50">
        <v>0.59199999999999997</v>
      </c>
      <c r="K53" s="190"/>
      <c r="L53" s="190"/>
      <c r="M53" s="190"/>
      <c r="N53" s="190"/>
      <c r="O53" s="190"/>
      <c r="P53" s="195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s="35" customFormat="1" ht="13.5" customHeight="1" x14ac:dyDescent="0.25">
      <c r="A54" s="27"/>
      <c r="B54" s="208">
        <v>8</v>
      </c>
      <c r="C54" s="211">
        <f t="shared" ref="C54" si="46">+C49+$N$12</f>
        <v>9.91</v>
      </c>
      <c r="D54" s="188">
        <v>0.495</v>
      </c>
      <c r="E54" s="188">
        <v>0.45400000000000001</v>
      </c>
      <c r="F54" s="36" t="s">
        <v>75</v>
      </c>
      <c r="G54" s="37">
        <v>3</v>
      </c>
      <c r="H54" s="38"/>
      <c r="I54" s="39"/>
      <c r="J54" s="40">
        <v>0.33100000000000002</v>
      </c>
      <c r="K54" s="188">
        <f t="shared" ref="K54" si="47">+IF(E54&lt;=0.12,(J56),(IF(E54&lt;0.16,((J55+2*J56+J57)/4),IF(E54&gt;=0.16,((J54+3*J55+2*J56+3*J57+J58)/10)))))</f>
        <v>0.52439999999999998</v>
      </c>
      <c r="L54" s="188">
        <f t="shared" ref="L54" si="48">ROUND(+(D49+D54)/2*(C54-C49),3)</f>
        <v>0.47899999999999998</v>
      </c>
      <c r="M54" s="188">
        <f t="shared" ref="M54" si="49">ROUND(+K54*L54,4)</f>
        <v>0.25119999999999998</v>
      </c>
      <c r="N54" s="191">
        <f t="shared" ref="N54" si="50">ROUND(+M54/$M$103*100,2)</f>
        <v>17.64</v>
      </c>
      <c r="O54" s="192"/>
      <c r="P54" s="193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s="35" customFormat="1" ht="13.5" customHeight="1" x14ac:dyDescent="0.25">
      <c r="A55" s="27"/>
      <c r="B55" s="209"/>
      <c r="C55" s="189"/>
      <c r="D55" s="189"/>
      <c r="E55" s="189"/>
      <c r="F55" s="41" t="s">
        <v>76</v>
      </c>
      <c r="G55" s="42">
        <f t="shared" ref="G55" si="51">IF(E54&lt;0.125,"NA",IF(0.125&lt;=E54,(0.2*E54)))</f>
        <v>9.0800000000000006E-2</v>
      </c>
      <c r="H55" s="43"/>
      <c r="I55" s="44"/>
      <c r="J55" s="45">
        <v>0.20799999999999999</v>
      </c>
      <c r="K55" s="189"/>
      <c r="L55" s="189"/>
      <c r="M55" s="189"/>
      <c r="N55" s="189"/>
      <c r="O55" s="189"/>
      <c r="P55" s="194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s="35" customFormat="1" ht="13.5" customHeight="1" x14ac:dyDescent="0.25">
      <c r="A56" s="27"/>
      <c r="B56" s="209"/>
      <c r="C56" s="189"/>
      <c r="D56" s="189"/>
      <c r="E56" s="189"/>
      <c r="F56" s="41" t="s">
        <v>77</v>
      </c>
      <c r="G56" s="42">
        <f t="shared" ref="G56" si="52">+E54*0.4</f>
        <v>0.18160000000000001</v>
      </c>
      <c r="H56" s="43"/>
      <c r="I56" s="44"/>
      <c r="J56" s="45">
        <v>0.73599999999999999</v>
      </c>
      <c r="K56" s="189"/>
      <c r="L56" s="189"/>
      <c r="M56" s="189"/>
      <c r="N56" s="189"/>
      <c r="O56" s="189"/>
      <c r="P56" s="194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s="35" customFormat="1" ht="13.5" customHeight="1" x14ac:dyDescent="0.25">
      <c r="A57" s="27"/>
      <c r="B57" s="209"/>
      <c r="C57" s="189"/>
      <c r="D57" s="189"/>
      <c r="E57" s="189"/>
      <c r="F57" s="41" t="s">
        <v>78</v>
      </c>
      <c r="G57" s="42">
        <f t="shared" ref="G57" si="53">IF(E54&lt;0.125,"NA",IF(0.125&lt;=E54,(0.8*E54)))</f>
        <v>0.36320000000000002</v>
      </c>
      <c r="H57" s="43"/>
      <c r="I57" s="44"/>
      <c r="J57" s="45">
        <v>0.73699999999999999</v>
      </c>
      <c r="K57" s="189"/>
      <c r="L57" s="189"/>
      <c r="M57" s="189"/>
      <c r="N57" s="189"/>
      <c r="O57" s="189"/>
      <c r="P57" s="194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s="35" customFormat="1" ht="13.5" customHeight="1" thickBot="1" x14ac:dyDescent="0.3">
      <c r="A58" s="27"/>
      <c r="B58" s="210"/>
      <c r="C58" s="190"/>
      <c r="D58" s="190"/>
      <c r="E58" s="190"/>
      <c r="F58" s="46" t="s">
        <v>79</v>
      </c>
      <c r="G58" s="47">
        <f t="shared" ref="G58" si="54">+E54</f>
        <v>0.45400000000000001</v>
      </c>
      <c r="H58" s="48"/>
      <c r="I58" s="49"/>
      <c r="J58" s="50">
        <v>0.60599999999999998</v>
      </c>
      <c r="K58" s="190"/>
      <c r="L58" s="190"/>
      <c r="M58" s="190"/>
      <c r="N58" s="190"/>
      <c r="O58" s="190"/>
      <c r="P58" s="195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s="35" customFormat="1" ht="13.5" customHeight="1" x14ac:dyDescent="0.25">
      <c r="A59" s="27"/>
      <c r="B59" s="208">
        <v>9</v>
      </c>
      <c r="C59" s="211">
        <f t="shared" ref="C59" si="55">+C54+$N$12</f>
        <v>10.91</v>
      </c>
      <c r="D59" s="188">
        <v>0.61</v>
      </c>
      <c r="E59" s="188">
        <v>0.36399999999999999</v>
      </c>
      <c r="F59" s="36" t="s">
        <v>75</v>
      </c>
      <c r="G59" s="37">
        <v>4</v>
      </c>
      <c r="H59" s="38"/>
      <c r="I59" s="39"/>
      <c r="J59" s="40">
        <v>0.67500000000000004</v>
      </c>
      <c r="K59" s="188">
        <f t="shared" ref="K59" si="56">+IF(E59&lt;=0.12,(J61),(IF(E59&lt;0.16,((J60+2*J61+J62)/4),IF(E59&gt;=0.16,((J59+3*J60+2*J61+3*J62+J63)/10)))))</f>
        <v>0.5787000000000001</v>
      </c>
      <c r="L59" s="188">
        <f t="shared" ref="L59" si="57">ROUND(+(D54+D59)/2*(C59-C54),3)</f>
        <v>0.55300000000000005</v>
      </c>
      <c r="M59" s="188">
        <f t="shared" ref="M59" si="58">ROUND(+K59*L59,4)</f>
        <v>0.32</v>
      </c>
      <c r="N59" s="191">
        <f t="shared" ref="N59" si="59">ROUND(+M59/$M$103*100,2)</f>
        <v>22.47</v>
      </c>
      <c r="O59" s="192"/>
      <c r="P59" s="193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s="35" customFormat="1" ht="13.5" customHeight="1" x14ac:dyDescent="0.25">
      <c r="A60" s="27"/>
      <c r="B60" s="209"/>
      <c r="C60" s="189"/>
      <c r="D60" s="189"/>
      <c r="E60" s="189"/>
      <c r="F60" s="41" t="s">
        <v>76</v>
      </c>
      <c r="G60" s="42">
        <f t="shared" ref="G60" si="60">IF(E59&lt;0.125,"NA",IF(0.125&lt;=E59,(0.2*E59)))</f>
        <v>7.2800000000000004E-2</v>
      </c>
      <c r="H60" s="43"/>
      <c r="I60" s="44"/>
      <c r="J60" s="45">
        <v>0.58599999999999997</v>
      </c>
      <c r="K60" s="189"/>
      <c r="L60" s="189"/>
      <c r="M60" s="189"/>
      <c r="N60" s="189"/>
      <c r="O60" s="189"/>
      <c r="P60" s="194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s="35" customFormat="1" ht="13.5" customHeight="1" x14ac:dyDescent="0.25">
      <c r="A61" s="27"/>
      <c r="B61" s="209"/>
      <c r="C61" s="189"/>
      <c r="D61" s="189"/>
      <c r="E61" s="189"/>
      <c r="F61" s="41" t="s">
        <v>77</v>
      </c>
      <c r="G61" s="42">
        <f t="shared" ref="G61" si="61">+E59*0.4</f>
        <v>0.14560000000000001</v>
      </c>
      <c r="H61" s="43"/>
      <c r="I61" s="44"/>
      <c r="J61" s="45">
        <v>0.50800000000000001</v>
      </c>
      <c r="K61" s="189"/>
      <c r="L61" s="189"/>
      <c r="M61" s="189"/>
      <c r="N61" s="189"/>
      <c r="O61" s="189"/>
      <c r="P61" s="194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s="35" customFormat="1" ht="13.5" customHeight="1" x14ac:dyDescent="0.25">
      <c r="A62" s="27"/>
      <c r="B62" s="209"/>
      <c r="C62" s="189"/>
      <c r="D62" s="189"/>
      <c r="E62" s="189"/>
      <c r="F62" s="41" t="s">
        <v>78</v>
      </c>
      <c r="G62" s="42">
        <f t="shared" ref="G62" si="62">IF(E59&lt;0.125,"NA",IF(0.125&lt;=E59,(0.8*E59)))</f>
        <v>0.29120000000000001</v>
      </c>
      <c r="H62" s="43"/>
      <c r="I62" s="44"/>
      <c r="J62" s="45">
        <v>0.59799999999999998</v>
      </c>
      <c r="K62" s="189"/>
      <c r="L62" s="189"/>
      <c r="M62" s="189"/>
      <c r="N62" s="189"/>
      <c r="O62" s="189"/>
      <c r="P62" s="194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s="35" customFormat="1" ht="13.5" customHeight="1" thickBot="1" x14ac:dyDescent="0.3">
      <c r="A63" s="27"/>
      <c r="B63" s="210"/>
      <c r="C63" s="190"/>
      <c r="D63" s="190"/>
      <c r="E63" s="190"/>
      <c r="F63" s="46" t="s">
        <v>79</v>
      </c>
      <c r="G63" s="47">
        <f t="shared" ref="G63" si="63">+E59</f>
        <v>0.36399999999999999</v>
      </c>
      <c r="H63" s="48"/>
      <c r="I63" s="49"/>
      <c r="J63" s="50">
        <v>0.54400000000000004</v>
      </c>
      <c r="K63" s="190"/>
      <c r="L63" s="190"/>
      <c r="M63" s="190"/>
      <c r="N63" s="190"/>
      <c r="O63" s="190"/>
      <c r="P63" s="195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s="35" customFormat="1" ht="13.5" customHeight="1" x14ac:dyDescent="0.25">
      <c r="A64" s="27"/>
      <c r="B64" s="208">
        <v>10</v>
      </c>
      <c r="C64" s="211">
        <f>+C59+$N$12</f>
        <v>11.91</v>
      </c>
      <c r="D64" s="188">
        <v>0.44400000000000001</v>
      </c>
      <c r="E64" s="188">
        <v>0.52400000000000002</v>
      </c>
      <c r="F64" s="36" t="s">
        <v>75</v>
      </c>
      <c r="G64" s="37">
        <v>4</v>
      </c>
      <c r="H64" s="38"/>
      <c r="I64" s="39"/>
      <c r="J64" s="40"/>
      <c r="K64" s="188"/>
      <c r="L64" s="188"/>
      <c r="M64" s="188"/>
      <c r="N64" s="191"/>
      <c r="O64" s="192"/>
      <c r="P64" s="193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s="35" customFormat="1" ht="13.5" customHeight="1" x14ac:dyDescent="0.25">
      <c r="A65" s="27"/>
      <c r="B65" s="209"/>
      <c r="C65" s="189"/>
      <c r="D65" s="189"/>
      <c r="E65" s="189"/>
      <c r="F65" s="41" t="s">
        <v>76</v>
      </c>
      <c r="G65" s="42">
        <f t="shared" ref="G65" si="64">IF(E64&lt;0.125,"NA",IF(0.125&lt;=E64,(0.2*E64)))</f>
        <v>0.1048</v>
      </c>
      <c r="H65" s="43"/>
      <c r="I65" s="44"/>
      <c r="J65" s="45"/>
      <c r="K65" s="189"/>
      <c r="L65" s="189"/>
      <c r="M65" s="189"/>
      <c r="N65" s="189"/>
      <c r="O65" s="189"/>
      <c r="P65" s="194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s="35" customFormat="1" ht="13.5" customHeight="1" x14ac:dyDescent="0.25">
      <c r="A66" s="27"/>
      <c r="B66" s="209"/>
      <c r="C66" s="189"/>
      <c r="D66" s="189"/>
      <c r="E66" s="189"/>
      <c r="F66" s="41" t="s">
        <v>77</v>
      </c>
      <c r="G66" s="42">
        <f t="shared" ref="G66" si="65">+E64*0.4</f>
        <v>0.20960000000000001</v>
      </c>
      <c r="H66" s="43"/>
      <c r="I66" s="44"/>
      <c r="J66" s="45"/>
      <c r="K66" s="189"/>
      <c r="L66" s="189"/>
      <c r="M66" s="189"/>
      <c r="N66" s="189"/>
      <c r="O66" s="189"/>
      <c r="P66" s="194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s="35" customFormat="1" ht="13.5" customHeight="1" x14ac:dyDescent="0.25">
      <c r="A67" s="27"/>
      <c r="B67" s="209"/>
      <c r="C67" s="189"/>
      <c r="D67" s="189"/>
      <c r="E67" s="189"/>
      <c r="F67" s="41" t="s">
        <v>78</v>
      </c>
      <c r="G67" s="42">
        <f t="shared" ref="G67" si="66">IF(E64&lt;0.125,"NA",IF(0.125&lt;=E64,(0.8*E64)))</f>
        <v>0.41920000000000002</v>
      </c>
      <c r="H67" s="43"/>
      <c r="I67" s="44"/>
      <c r="J67" s="45"/>
      <c r="K67" s="189"/>
      <c r="L67" s="189"/>
      <c r="M67" s="189"/>
      <c r="N67" s="189"/>
      <c r="O67" s="189"/>
      <c r="P67" s="194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s="35" customFormat="1" ht="13.5" customHeight="1" thickBot="1" x14ac:dyDescent="0.3">
      <c r="A68" s="27"/>
      <c r="B68" s="210"/>
      <c r="C68" s="190"/>
      <c r="D68" s="190"/>
      <c r="E68" s="190"/>
      <c r="F68" s="46" t="s">
        <v>79</v>
      </c>
      <c r="G68" s="47">
        <f t="shared" ref="G68" si="67">+E64</f>
        <v>0.52400000000000002</v>
      </c>
      <c r="H68" s="48"/>
      <c r="I68" s="49"/>
      <c r="J68" s="50"/>
      <c r="K68" s="190"/>
      <c r="L68" s="190"/>
      <c r="M68" s="190"/>
      <c r="N68" s="190"/>
      <c r="O68" s="190"/>
      <c r="P68" s="195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s="35" customFormat="1" ht="13.5" customHeight="1" x14ac:dyDescent="0.25">
      <c r="A69" s="27"/>
      <c r="B69" s="208">
        <v>11</v>
      </c>
      <c r="C69" s="211">
        <f>+C64+$N$12</f>
        <v>12.91</v>
      </c>
      <c r="D69" s="188">
        <v>0.26300000000000001</v>
      </c>
      <c r="E69" s="188">
        <v>0.16200000000000001</v>
      </c>
      <c r="F69" s="36" t="s">
        <v>75</v>
      </c>
      <c r="G69" s="37">
        <v>4</v>
      </c>
      <c r="H69" s="38"/>
      <c r="I69" s="39"/>
      <c r="J69" s="40">
        <v>0.314</v>
      </c>
      <c r="K69" s="188">
        <f t="shared" ref="K69" si="68">+IF(E69&lt;=0.12,(J71),(IF(E69&lt;0.16,((J70+2*J71+J72)/4),IF(E69&gt;=0.16,((J69+3*J70+2*J71+3*J72+J73)/10)))))</f>
        <v>0.26399999999999996</v>
      </c>
      <c r="L69" s="188">
        <f t="shared" ref="L69" si="69">ROUND(+(D64+D69)/2*(C69-C64),3)</f>
        <v>0.35399999999999998</v>
      </c>
      <c r="M69" s="188">
        <f t="shared" ref="M69" si="70">ROUND(+K69*L69,4)</f>
        <v>9.35E-2</v>
      </c>
      <c r="N69" s="191">
        <f t="shared" ref="N69" si="71">ROUND(+M69/$M$103*100,2)</f>
        <v>6.57</v>
      </c>
      <c r="O69" s="192"/>
      <c r="P69" s="193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s="35" customFormat="1" ht="13.5" customHeight="1" x14ac:dyDescent="0.25">
      <c r="A70" s="27"/>
      <c r="B70" s="209"/>
      <c r="C70" s="189"/>
      <c r="D70" s="189"/>
      <c r="E70" s="189"/>
      <c r="F70" s="41" t="s">
        <v>76</v>
      </c>
      <c r="G70" s="42">
        <f t="shared" ref="G70" si="72">IF(E69&lt;0.125,"NA",IF(0.125&lt;=E69,(0.2*E69)))</f>
        <v>3.2400000000000005E-2</v>
      </c>
      <c r="H70" s="43"/>
      <c r="I70" s="44"/>
      <c r="J70" s="45">
        <v>0.19800000000000001</v>
      </c>
      <c r="K70" s="189"/>
      <c r="L70" s="189"/>
      <c r="M70" s="189"/>
      <c r="N70" s="189"/>
      <c r="O70" s="189"/>
      <c r="P70" s="194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s="35" customFormat="1" ht="13.5" customHeight="1" x14ac:dyDescent="0.25">
      <c r="A71" s="27"/>
      <c r="B71" s="209"/>
      <c r="C71" s="189"/>
      <c r="D71" s="189"/>
      <c r="E71" s="189"/>
      <c r="F71" s="41" t="s">
        <v>77</v>
      </c>
      <c r="G71" s="42">
        <f t="shared" ref="G71" si="73">+E69*0.4</f>
        <v>6.480000000000001E-2</v>
      </c>
      <c r="H71" s="43"/>
      <c r="I71" s="44"/>
      <c r="J71" s="45">
        <v>0.41899999999999998</v>
      </c>
      <c r="K71" s="189"/>
      <c r="L71" s="189"/>
      <c r="M71" s="189"/>
      <c r="N71" s="189"/>
      <c r="O71" s="189"/>
      <c r="P71" s="194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s="35" customFormat="1" ht="13.5" customHeight="1" x14ac:dyDescent="0.25">
      <c r="A72" s="27"/>
      <c r="B72" s="209"/>
      <c r="C72" s="189"/>
      <c r="D72" s="189"/>
      <c r="E72" s="189"/>
      <c r="F72" s="41" t="s">
        <v>78</v>
      </c>
      <c r="G72" s="42">
        <f t="shared" ref="G72" si="74">IF(E69&lt;0.125,"NA",IF(0.125&lt;=E69,(0.8*E69)))</f>
        <v>0.12960000000000002</v>
      </c>
      <c r="H72" s="43"/>
      <c r="I72" s="44"/>
      <c r="J72" s="45">
        <v>0.29799999999999999</v>
      </c>
      <c r="K72" s="189"/>
      <c r="L72" s="189"/>
      <c r="M72" s="189"/>
      <c r="N72" s="189"/>
      <c r="O72" s="189"/>
      <c r="P72" s="194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s="35" customFormat="1" ht="13.5" customHeight="1" thickBot="1" x14ac:dyDescent="0.3">
      <c r="A73" s="27"/>
      <c r="B73" s="210"/>
      <c r="C73" s="190"/>
      <c r="D73" s="190"/>
      <c r="E73" s="190"/>
      <c r="F73" s="46" t="s">
        <v>79</v>
      </c>
      <c r="G73" s="47">
        <f t="shared" ref="G73" si="75">+E69</f>
        <v>0.16200000000000001</v>
      </c>
      <c r="H73" s="48"/>
      <c r="I73" s="49"/>
      <c r="J73" s="50"/>
      <c r="K73" s="190"/>
      <c r="L73" s="190"/>
      <c r="M73" s="190"/>
      <c r="N73" s="190"/>
      <c r="O73" s="190"/>
      <c r="P73" s="195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s="35" customFormat="1" ht="13.5" customHeight="1" x14ac:dyDescent="0.25">
      <c r="A74" s="27"/>
      <c r="B74" s="208">
        <v>12</v>
      </c>
      <c r="C74" s="211">
        <f>+C69+$N$12</f>
        <v>13.91</v>
      </c>
      <c r="D74" s="188">
        <v>0.182</v>
      </c>
      <c r="E74" s="188">
        <v>0.16</v>
      </c>
      <c r="F74" s="36" t="s">
        <v>75</v>
      </c>
      <c r="G74" s="37">
        <v>0</v>
      </c>
      <c r="H74" s="38"/>
      <c r="I74" s="39"/>
      <c r="J74" s="40">
        <v>0.247</v>
      </c>
      <c r="K74" s="188">
        <f t="shared" ref="K74" si="76">+IF(E74&lt;=0.12,(J76),(IF(E74&lt;0.16,((J75+2*J76+J77)/4),IF(E74&gt;=0.16,((J74+3*J75+2*J76+3*J77+J78)/10)))))</f>
        <v>0.23270000000000005</v>
      </c>
      <c r="L74" s="188">
        <f t="shared" ref="L74" si="77">ROUND(+(D69+D74)/2*(C74-C69),3)</f>
        <v>0.223</v>
      </c>
      <c r="M74" s="188">
        <f t="shared" ref="M74" si="78">ROUND(+K74*L74,4)</f>
        <v>5.1900000000000002E-2</v>
      </c>
      <c r="N74" s="191">
        <f t="shared" ref="N74" si="79">ROUND(+M74/$M$103*100,2)</f>
        <v>3.64</v>
      </c>
      <c r="O74" s="192"/>
      <c r="P74" s="193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s="35" customFormat="1" ht="13.5" customHeight="1" x14ac:dyDescent="0.25">
      <c r="A75" s="27"/>
      <c r="B75" s="209"/>
      <c r="C75" s="189"/>
      <c r="D75" s="189"/>
      <c r="E75" s="189"/>
      <c r="F75" s="41" t="s">
        <v>76</v>
      </c>
      <c r="G75" s="42">
        <f t="shared" ref="G75" si="80">IF(E74&lt;0.125,"NA",IF(0.125&lt;=E74,(0.2*E74)))</f>
        <v>3.2000000000000001E-2</v>
      </c>
      <c r="H75" s="43"/>
      <c r="I75" s="44"/>
      <c r="J75" s="45">
        <v>0.23799999999999999</v>
      </c>
      <c r="K75" s="189"/>
      <c r="L75" s="189"/>
      <c r="M75" s="189"/>
      <c r="N75" s="189"/>
      <c r="O75" s="189"/>
      <c r="P75" s="194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s="35" customFormat="1" ht="13.5" customHeight="1" x14ac:dyDescent="0.25">
      <c r="A76" s="27"/>
      <c r="B76" s="209"/>
      <c r="C76" s="189"/>
      <c r="D76" s="189"/>
      <c r="E76" s="189"/>
      <c r="F76" s="41" t="s">
        <v>77</v>
      </c>
      <c r="G76" s="42">
        <f t="shared" ref="G76" si="81">+E74*0.4</f>
        <v>6.4000000000000001E-2</v>
      </c>
      <c r="H76" s="43"/>
      <c r="I76" s="44"/>
      <c r="J76" s="45">
        <v>0.23699999999999999</v>
      </c>
      <c r="K76" s="189"/>
      <c r="L76" s="189"/>
      <c r="M76" s="189"/>
      <c r="N76" s="189"/>
      <c r="O76" s="189"/>
      <c r="P76" s="194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s="35" customFormat="1" ht="13.5" customHeight="1" x14ac:dyDescent="0.25">
      <c r="A77" s="27"/>
      <c r="B77" s="209"/>
      <c r="C77" s="189"/>
      <c r="D77" s="189"/>
      <c r="E77" s="189"/>
      <c r="F77" s="41" t="s">
        <v>78</v>
      </c>
      <c r="G77" s="42">
        <f t="shared" ref="G77" si="82">IF(E74&lt;0.125,"NA",IF(0.125&lt;=E74,(0.8*E74)))</f>
        <v>0.128</v>
      </c>
      <c r="H77" s="43"/>
      <c r="I77" s="44"/>
      <c r="J77" s="45">
        <v>0.248</v>
      </c>
      <c r="K77" s="189"/>
      <c r="L77" s="189"/>
      <c r="M77" s="189"/>
      <c r="N77" s="189"/>
      <c r="O77" s="189"/>
      <c r="P77" s="194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s="35" customFormat="1" ht="13.5" customHeight="1" thickBot="1" x14ac:dyDescent="0.3">
      <c r="A78" s="27"/>
      <c r="B78" s="210"/>
      <c r="C78" s="190"/>
      <c r="D78" s="190"/>
      <c r="E78" s="190"/>
      <c r="F78" s="46" t="s">
        <v>79</v>
      </c>
      <c r="G78" s="47">
        <f t="shared" ref="G78" si="83">+E74</f>
        <v>0.16</v>
      </c>
      <c r="H78" s="48"/>
      <c r="I78" s="49"/>
      <c r="J78" s="50">
        <v>0.14799999999999999</v>
      </c>
      <c r="K78" s="190"/>
      <c r="L78" s="190"/>
      <c r="M78" s="190"/>
      <c r="N78" s="190"/>
      <c r="O78" s="190"/>
      <c r="P78" s="195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s="35" customFormat="1" ht="13.5" customHeight="1" x14ac:dyDescent="0.25">
      <c r="A79" s="27"/>
      <c r="B79" s="208">
        <v>13</v>
      </c>
      <c r="C79" s="211">
        <f>+C74+$N$12</f>
        <v>14.91</v>
      </c>
      <c r="D79" s="188">
        <v>6.5000000000000002E-2</v>
      </c>
      <c r="E79" s="188">
        <v>0.11</v>
      </c>
      <c r="F79" s="36" t="s">
        <v>75</v>
      </c>
      <c r="G79" s="37">
        <v>0</v>
      </c>
      <c r="H79" s="38"/>
      <c r="I79" s="39"/>
      <c r="J79" s="40">
        <v>0.16500000000000001</v>
      </c>
      <c r="K79" s="188">
        <f t="shared" ref="K79" si="84">+IF(E79&lt;=0.12,(J81),(IF(E79&lt;0.16,((J80+2*J81+J82)/4),IF(E79&gt;=0.16,((J79+3*J80+2*J81+3*J82+J83)/10)))))</f>
        <v>0.19600000000000001</v>
      </c>
      <c r="L79" s="188">
        <f t="shared" ref="L79" si="85">ROUND(+(D74+D79)/2*(C79-C74),3)</f>
        <v>0.124</v>
      </c>
      <c r="M79" s="188">
        <f t="shared" ref="M79" si="86">ROUND(+K79*L79,4)</f>
        <v>2.4299999999999999E-2</v>
      </c>
      <c r="N79" s="191">
        <f t="shared" ref="N79" si="87">ROUND(+M79/$M$103*100,2)</f>
        <v>1.71</v>
      </c>
      <c r="O79" s="192"/>
      <c r="P79" s="193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s="35" customFormat="1" ht="13.5" customHeight="1" x14ac:dyDescent="0.25">
      <c r="A80" s="27"/>
      <c r="B80" s="209"/>
      <c r="C80" s="189"/>
      <c r="D80" s="189"/>
      <c r="E80" s="189"/>
      <c r="F80" s="41" t="s">
        <v>76</v>
      </c>
      <c r="G80" s="42" t="str">
        <f t="shared" ref="G80" si="88">IF(E79&lt;0.125,"NA",IF(0.125&lt;=E79,(0.2*E79)))</f>
        <v>NA</v>
      </c>
      <c r="H80" s="43"/>
      <c r="I80" s="44"/>
      <c r="J80" s="45"/>
      <c r="K80" s="189"/>
      <c r="L80" s="189"/>
      <c r="M80" s="189"/>
      <c r="N80" s="189"/>
      <c r="O80" s="189"/>
      <c r="P80" s="194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s="35" customFormat="1" ht="13.5" customHeight="1" x14ac:dyDescent="0.25">
      <c r="A81" s="27"/>
      <c r="B81" s="209"/>
      <c r="C81" s="189"/>
      <c r="D81" s="189"/>
      <c r="E81" s="189"/>
      <c r="F81" s="41" t="s">
        <v>77</v>
      </c>
      <c r="G81" s="42">
        <f t="shared" ref="G81" si="89">+E79*0.4</f>
        <v>4.4000000000000004E-2</v>
      </c>
      <c r="H81" s="43"/>
      <c r="I81" s="44"/>
      <c r="J81" s="45">
        <v>0.19600000000000001</v>
      </c>
      <c r="K81" s="189"/>
      <c r="L81" s="189"/>
      <c r="M81" s="189"/>
      <c r="N81" s="189"/>
      <c r="O81" s="189"/>
      <c r="P81" s="194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s="35" customFormat="1" ht="13.5" customHeight="1" x14ac:dyDescent="0.25">
      <c r="A82" s="27"/>
      <c r="B82" s="209"/>
      <c r="C82" s="189"/>
      <c r="D82" s="189"/>
      <c r="E82" s="189"/>
      <c r="F82" s="41" t="s">
        <v>78</v>
      </c>
      <c r="G82" s="42" t="str">
        <f t="shared" ref="G82" si="90">IF(E79&lt;0.125,"NA",IF(0.125&lt;=E79,(0.8*E79)))</f>
        <v>NA</v>
      </c>
      <c r="H82" s="43"/>
      <c r="I82" s="44"/>
      <c r="J82" s="45"/>
      <c r="K82" s="189"/>
      <c r="L82" s="189"/>
      <c r="M82" s="189"/>
      <c r="N82" s="189"/>
      <c r="O82" s="189"/>
      <c r="P82" s="194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s="35" customFormat="1" ht="13.5" customHeight="1" thickBot="1" x14ac:dyDescent="0.3">
      <c r="A83" s="27"/>
      <c r="B83" s="210"/>
      <c r="C83" s="190"/>
      <c r="D83" s="190"/>
      <c r="E83" s="190"/>
      <c r="F83" s="46" t="s">
        <v>79</v>
      </c>
      <c r="G83" s="47">
        <f t="shared" ref="G83" si="91">+E79</f>
        <v>0.11</v>
      </c>
      <c r="H83" s="48"/>
      <c r="I83" s="49"/>
      <c r="J83" s="50">
        <v>0.20200000000000001</v>
      </c>
      <c r="K83" s="190"/>
      <c r="L83" s="190"/>
      <c r="M83" s="190"/>
      <c r="N83" s="190"/>
      <c r="O83" s="190"/>
      <c r="P83" s="195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s="3" customFormat="1" ht="13.5" customHeight="1" x14ac:dyDescent="0.2">
      <c r="B84" s="196" t="s">
        <v>28</v>
      </c>
      <c r="C84" s="199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1"/>
    </row>
    <row r="85" spans="1:26" s="3" customFormat="1" ht="14.1" customHeight="1" x14ac:dyDescent="0.2">
      <c r="B85" s="197"/>
      <c r="C85" s="202"/>
      <c r="D85" s="203"/>
      <c r="E85" s="203"/>
      <c r="F85" s="203"/>
      <c r="G85" s="203"/>
      <c r="H85" s="203"/>
      <c r="I85" s="203"/>
      <c r="J85" s="203"/>
      <c r="K85" s="203"/>
      <c r="L85" s="203"/>
      <c r="M85" s="203"/>
      <c r="N85" s="203"/>
      <c r="O85" s="203"/>
      <c r="P85" s="204"/>
    </row>
    <row r="86" spans="1:26" s="3" customFormat="1" ht="14.1" customHeight="1" x14ac:dyDescent="0.2">
      <c r="B86" s="197"/>
      <c r="C86" s="202"/>
      <c r="D86" s="203"/>
      <c r="E86" s="203"/>
      <c r="F86" s="203"/>
      <c r="G86" s="203"/>
      <c r="H86" s="203"/>
      <c r="I86" s="203"/>
      <c r="J86" s="203"/>
      <c r="K86" s="203"/>
      <c r="L86" s="203"/>
      <c r="M86" s="203"/>
      <c r="N86" s="203"/>
      <c r="O86" s="203"/>
      <c r="P86" s="204"/>
    </row>
    <row r="87" spans="1:26" s="3" customFormat="1" ht="14.1" customHeight="1" x14ac:dyDescent="0.2">
      <c r="B87" s="197"/>
      <c r="C87" s="202"/>
      <c r="D87" s="203"/>
      <c r="E87" s="203"/>
      <c r="F87" s="203"/>
      <c r="G87" s="203"/>
      <c r="H87" s="203"/>
      <c r="I87" s="203"/>
      <c r="J87" s="203"/>
      <c r="K87" s="203"/>
      <c r="L87" s="203"/>
      <c r="M87" s="203"/>
      <c r="N87" s="203"/>
      <c r="O87" s="203"/>
      <c r="P87" s="204"/>
    </row>
    <row r="88" spans="1:26" s="3" customFormat="1" ht="14.1" customHeight="1" x14ac:dyDescent="0.2">
      <c r="B88" s="197"/>
      <c r="C88" s="202"/>
      <c r="D88" s="203"/>
      <c r="E88" s="203"/>
      <c r="F88" s="203"/>
      <c r="G88" s="203"/>
      <c r="H88" s="203"/>
      <c r="I88" s="203"/>
      <c r="J88" s="203"/>
      <c r="K88" s="203"/>
      <c r="L88" s="203"/>
      <c r="M88" s="203"/>
      <c r="N88" s="203"/>
      <c r="O88" s="203"/>
      <c r="P88" s="204"/>
    </row>
    <row r="89" spans="1:26" s="3" customFormat="1" ht="14.1" customHeight="1" thickBot="1" x14ac:dyDescent="0.25">
      <c r="B89" s="198"/>
      <c r="C89" s="205"/>
      <c r="D89" s="206"/>
      <c r="E89" s="206"/>
      <c r="F89" s="206"/>
      <c r="G89" s="206"/>
      <c r="H89" s="206"/>
      <c r="I89" s="206"/>
      <c r="J89" s="206"/>
      <c r="K89" s="206"/>
      <c r="L89" s="206"/>
      <c r="M89" s="206"/>
      <c r="N89" s="206"/>
      <c r="O89" s="206"/>
      <c r="P89" s="207"/>
    </row>
    <row r="90" spans="1:26" s="3" customFormat="1" ht="28.5" customHeight="1" thickBot="1" x14ac:dyDescent="0.25">
      <c r="A90" s="51"/>
      <c r="B90" s="52" t="s">
        <v>80</v>
      </c>
      <c r="C90" s="175" t="s">
        <v>81</v>
      </c>
      <c r="D90" s="175"/>
      <c r="E90" s="175"/>
      <c r="F90" s="175"/>
      <c r="G90" s="175"/>
      <c r="H90" s="176"/>
      <c r="I90" s="177"/>
      <c r="J90" s="52" t="s">
        <v>82</v>
      </c>
      <c r="K90" s="175" t="s">
        <v>83</v>
      </c>
      <c r="L90" s="175"/>
      <c r="M90" s="175"/>
      <c r="N90" s="175"/>
      <c r="O90" s="175"/>
      <c r="P90" s="176"/>
    </row>
    <row r="91" spans="1:26" s="3" customFormat="1" ht="28.5" customHeight="1" thickBot="1" x14ac:dyDescent="0.25">
      <c r="B91" s="53" t="s">
        <v>84</v>
      </c>
      <c r="C91" s="179" t="s">
        <v>85</v>
      </c>
      <c r="D91" s="179"/>
      <c r="E91" s="179"/>
      <c r="F91" s="179"/>
      <c r="G91" s="179"/>
      <c r="H91" s="180"/>
      <c r="I91" s="178"/>
      <c r="J91" s="53" t="s">
        <v>86</v>
      </c>
      <c r="K91" s="179" t="s">
        <v>87</v>
      </c>
      <c r="L91" s="179"/>
      <c r="M91" s="179"/>
      <c r="N91" s="179"/>
      <c r="O91" s="179"/>
      <c r="P91" s="180"/>
    </row>
    <row r="92" spans="1:26" s="91" customFormat="1" ht="13.5" customHeight="1" x14ac:dyDescent="0.25">
      <c r="A92" s="54"/>
      <c r="B92" s="181">
        <f>+B64</f>
        <v>10</v>
      </c>
      <c r="C92" s="184">
        <f>+C59</f>
        <v>10.91</v>
      </c>
      <c r="D92" s="186">
        <f>+D59</f>
        <v>0.61</v>
      </c>
      <c r="E92" s="186">
        <f>+E64</f>
        <v>0.52400000000000002</v>
      </c>
      <c r="F92" s="55" t="s">
        <v>75</v>
      </c>
      <c r="G92" s="55">
        <v>0.01</v>
      </c>
      <c r="H92" s="56"/>
      <c r="I92" s="57"/>
      <c r="J92" s="58">
        <v>0.223</v>
      </c>
      <c r="K92" s="187">
        <f>+AVERAGE(J92:J102)</f>
        <v>0.39090909090909087</v>
      </c>
      <c r="L92" s="166">
        <f>ROUND(+(D92+D97)/2*(C97-C92),3)</f>
        <v>0.52700000000000002</v>
      </c>
      <c r="M92" s="169">
        <f>ROUND(+K92*L92,4)</f>
        <v>0.20599999999999999</v>
      </c>
      <c r="N92" s="166">
        <f>ROUND(+M92/$M$103*100,2)</f>
        <v>14.47</v>
      </c>
      <c r="O92" s="166"/>
      <c r="P92" s="170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spans="1:26" s="91" customFormat="1" ht="13.5" customHeight="1" x14ac:dyDescent="0.25">
      <c r="A93" s="54"/>
      <c r="B93" s="182"/>
      <c r="C93" s="167"/>
      <c r="D93" s="167"/>
      <c r="E93" s="167"/>
      <c r="F93" s="60" t="s">
        <v>88</v>
      </c>
      <c r="G93" s="61">
        <f>+E92*0.1</f>
        <v>5.2400000000000002E-2</v>
      </c>
      <c r="H93" s="62"/>
      <c r="I93" s="63"/>
      <c r="J93" s="64">
        <v>0.23499999999999999</v>
      </c>
      <c r="K93" s="167"/>
      <c r="L93" s="167"/>
      <c r="M93" s="167"/>
      <c r="N93" s="167"/>
      <c r="O93" s="167"/>
      <c r="P93" s="171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spans="1:26" s="91" customFormat="1" ht="13.5" customHeight="1" x14ac:dyDescent="0.25">
      <c r="A94" s="54"/>
      <c r="B94" s="182"/>
      <c r="C94" s="167"/>
      <c r="D94" s="167"/>
      <c r="E94" s="167"/>
      <c r="F94" s="60" t="s">
        <v>89</v>
      </c>
      <c r="G94" s="61">
        <f>+E92*0.2</f>
        <v>0.1048</v>
      </c>
      <c r="H94" s="62"/>
      <c r="I94" s="63"/>
      <c r="J94" s="64">
        <v>0.23899999999999999</v>
      </c>
      <c r="K94" s="167"/>
      <c r="L94" s="167"/>
      <c r="M94" s="167"/>
      <c r="N94" s="167"/>
      <c r="O94" s="167"/>
      <c r="P94" s="171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spans="1:26" s="91" customFormat="1" ht="13.5" customHeight="1" x14ac:dyDescent="0.25">
      <c r="A95" s="54"/>
      <c r="B95" s="182"/>
      <c r="C95" s="167"/>
      <c r="D95" s="167"/>
      <c r="E95" s="167"/>
      <c r="F95" s="60" t="s">
        <v>90</v>
      </c>
      <c r="G95" s="61">
        <f>+E92*0.3</f>
        <v>0.15720000000000001</v>
      </c>
      <c r="H95" s="62"/>
      <c r="I95" s="63"/>
      <c r="J95" s="64">
        <v>0.27600000000000002</v>
      </c>
      <c r="K95" s="167"/>
      <c r="L95" s="167"/>
      <c r="M95" s="167"/>
      <c r="N95" s="167"/>
      <c r="O95" s="167"/>
      <c r="P95" s="171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spans="1:26" s="91" customFormat="1" ht="13.5" customHeight="1" x14ac:dyDescent="0.25">
      <c r="A96" s="54"/>
      <c r="B96" s="182"/>
      <c r="C96" s="185"/>
      <c r="D96" s="185"/>
      <c r="E96" s="167"/>
      <c r="F96" s="60" t="s">
        <v>91</v>
      </c>
      <c r="G96" s="61">
        <f>+E92*0.4</f>
        <v>0.20960000000000001</v>
      </c>
      <c r="H96" s="62"/>
      <c r="I96" s="63"/>
      <c r="J96" s="64">
        <v>0.29799999999999999</v>
      </c>
      <c r="K96" s="167"/>
      <c r="L96" s="167"/>
      <c r="M96" s="167"/>
      <c r="N96" s="167"/>
      <c r="O96" s="167"/>
      <c r="P96" s="171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spans="1:26" s="91" customFormat="1" ht="13.5" customHeight="1" x14ac:dyDescent="0.25">
      <c r="A97" s="54"/>
      <c r="B97" s="182"/>
      <c r="C97" s="173">
        <f>+C64</f>
        <v>11.91</v>
      </c>
      <c r="D97" s="174">
        <f>+D64</f>
        <v>0.44400000000000001</v>
      </c>
      <c r="E97" s="167"/>
      <c r="F97" s="60" t="s">
        <v>29</v>
      </c>
      <c r="G97" s="61">
        <f>+E92*0.5</f>
        <v>0.26200000000000001</v>
      </c>
      <c r="H97" s="62"/>
      <c r="I97" s="63"/>
      <c r="J97" s="64">
        <v>0.34599999999999997</v>
      </c>
      <c r="K97" s="167"/>
      <c r="L97" s="167"/>
      <c r="M97" s="167"/>
      <c r="N97" s="167"/>
      <c r="O97" s="167"/>
      <c r="P97" s="171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spans="1:26" s="91" customFormat="1" ht="13.5" customHeight="1" x14ac:dyDescent="0.25">
      <c r="A98" s="54"/>
      <c r="B98" s="182"/>
      <c r="C98" s="167"/>
      <c r="D98" s="167"/>
      <c r="E98" s="167"/>
      <c r="F98" s="60" t="s">
        <v>92</v>
      </c>
      <c r="G98" s="61">
        <f>+E92*0.6</f>
        <v>0.31440000000000001</v>
      </c>
      <c r="H98" s="62"/>
      <c r="I98" s="63"/>
      <c r="J98" s="64">
        <v>0.38700000000000001</v>
      </c>
      <c r="K98" s="167"/>
      <c r="L98" s="167"/>
      <c r="M98" s="167"/>
      <c r="N98" s="167"/>
      <c r="O98" s="167"/>
      <c r="P98" s="171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spans="1:26" s="91" customFormat="1" ht="13.5" customHeight="1" x14ac:dyDescent="0.25">
      <c r="A99" s="54"/>
      <c r="B99" s="182"/>
      <c r="C99" s="167"/>
      <c r="D99" s="167"/>
      <c r="E99" s="167"/>
      <c r="F99" s="60" t="s">
        <v>93</v>
      </c>
      <c r="G99" s="61">
        <f>+E92*0.7</f>
        <v>0.36680000000000001</v>
      </c>
      <c r="H99" s="62"/>
      <c r="I99" s="63"/>
      <c r="J99" s="64">
        <v>0.432</v>
      </c>
      <c r="K99" s="167"/>
      <c r="L99" s="167"/>
      <c r="M99" s="167"/>
      <c r="N99" s="167"/>
      <c r="O99" s="167"/>
      <c r="P99" s="171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spans="1:26" s="91" customFormat="1" ht="13.5" customHeight="1" x14ac:dyDescent="0.25">
      <c r="A100" s="54"/>
      <c r="B100" s="182"/>
      <c r="C100" s="167"/>
      <c r="D100" s="167"/>
      <c r="E100" s="167"/>
      <c r="F100" s="60" t="s">
        <v>94</v>
      </c>
      <c r="G100" s="61">
        <f>+E92*0.8</f>
        <v>0.41920000000000002</v>
      </c>
      <c r="H100" s="62"/>
      <c r="I100" s="63"/>
      <c r="J100" s="64">
        <v>0.58499999999999996</v>
      </c>
      <c r="K100" s="167"/>
      <c r="L100" s="167"/>
      <c r="M100" s="167"/>
      <c r="N100" s="167"/>
      <c r="O100" s="167"/>
      <c r="P100" s="171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spans="1:26" s="91" customFormat="1" ht="13.5" customHeight="1" x14ac:dyDescent="0.25">
      <c r="A101" s="54"/>
      <c r="B101" s="182"/>
      <c r="C101" s="167"/>
      <c r="D101" s="167"/>
      <c r="E101" s="167"/>
      <c r="F101" s="60" t="s">
        <v>95</v>
      </c>
      <c r="G101" s="61">
        <f>+E92*0.9</f>
        <v>0.47160000000000002</v>
      </c>
      <c r="H101" s="62"/>
      <c r="I101" s="63"/>
      <c r="J101" s="64">
        <v>0.65300000000000002</v>
      </c>
      <c r="K101" s="167"/>
      <c r="L101" s="167"/>
      <c r="M101" s="167"/>
      <c r="N101" s="167"/>
      <c r="O101" s="167"/>
      <c r="P101" s="171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spans="1:26" s="91" customFormat="1" ht="15.75" thickBot="1" x14ac:dyDescent="0.3">
      <c r="A102" s="54"/>
      <c r="B102" s="183"/>
      <c r="C102" s="168"/>
      <c r="D102" s="168"/>
      <c r="E102" s="168"/>
      <c r="F102" s="65" t="s">
        <v>30</v>
      </c>
      <c r="G102" s="65">
        <f>+E92</f>
        <v>0.52400000000000002</v>
      </c>
      <c r="H102" s="66"/>
      <c r="I102" s="67"/>
      <c r="J102" s="68">
        <v>0.626</v>
      </c>
      <c r="K102" s="168"/>
      <c r="L102" s="168"/>
      <c r="M102" s="168"/>
      <c r="N102" s="168"/>
      <c r="O102" s="168"/>
      <c r="P102" s="172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spans="1:26" s="3" customFormat="1" ht="12.75" x14ac:dyDescent="0.2">
      <c r="A103" s="8"/>
      <c r="B103" s="154" t="s">
        <v>104</v>
      </c>
      <c r="C103" s="154"/>
      <c r="D103" s="154"/>
      <c r="E103" s="154"/>
      <c r="F103" s="154"/>
      <c r="G103" s="154"/>
      <c r="H103" s="154"/>
      <c r="I103" s="154"/>
      <c r="J103" s="154"/>
      <c r="K103" s="13">
        <f>ROUND(+M103/L103,3)</f>
        <v>0.374</v>
      </c>
      <c r="L103" s="12">
        <f>SUM(L19:L102)</f>
        <v>3.8030000000000004</v>
      </c>
      <c r="M103" s="11">
        <f>SUM(M19:M102)</f>
        <v>1.4239999999999999</v>
      </c>
      <c r="N103" s="9">
        <f>ROUND(SUM(N19:N102),0)</f>
        <v>100</v>
      </c>
      <c r="O103" s="156" t="s">
        <v>31</v>
      </c>
      <c r="P103" s="158"/>
    </row>
    <row r="104" spans="1:26" s="3" customFormat="1" ht="15" customHeight="1" thickBot="1" x14ac:dyDescent="0.25">
      <c r="A104" s="8"/>
      <c r="B104" s="155"/>
      <c r="C104" s="155"/>
      <c r="D104" s="155"/>
      <c r="E104" s="155"/>
      <c r="F104" s="155"/>
      <c r="G104" s="155"/>
      <c r="H104" s="155"/>
      <c r="I104" s="155"/>
      <c r="J104" s="155"/>
      <c r="K104" s="10" t="s">
        <v>32</v>
      </c>
      <c r="L104" s="10" t="s">
        <v>48</v>
      </c>
      <c r="M104" s="10" t="s">
        <v>100</v>
      </c>
      <c r="N104" s="10" t="s">
        <v>33</v>
      </c>
      <c r="O104" s="157"/>
      <c r="P104" s="159"/>
    </row>
    <row r="105" spans="1:26" ht="15" customHeight="1" thickBot="1" x14ac:dyDescent="0.3">
      <c r="A105" s="93"/>
      <c r="B105" s="160" t="s">
        <v>96</v>
      </c>
      <c r="C105" s="161"/>
      <c r="D105" s="161"/>
      <c r="E105" s="161"/>
      <c r="F105" s="162"/>
      <c r="G105" s="160" t="s">
        <v>97</v>
      </c>
      <c r="H105" s="161"/>
      <c r="I105" s="161"/>
      <c r="J105" s="161"/>
      <c r="K105" s="162"/>
      <c r="L105" s="163" t="s">
        <v>49</v>
      </c>
      <c r="M105" s="164"/>
      <c r="N105" s="164"/>
      <c r="O105" s="164"/>
      <c r="P105" s="165"/>
    </row>
    <row r="106" spans="1:26" ht="15" customHeight="1" x14ac:dyDescent="0.25">
      <c r="A106" s="93"/>
      <c r="B106" s="124"/>
      <c r="C106" s="125"/>
      <c r="D106" s="125"/>
      <c r="E106" s="125"/>
      <c r="F106" s="126"/>
      <c r="G106" s="124"/>
      <c r="H106" s="125"/>
      <c r="I106" s="125"/>
      <c r="J106" s="125"/>
      <c r="K106" s="126"/>
      <c r="L106" s="133" t="s">
        <v>98</v>
      </c>
      <c r="M106" s="134"/>
      <c r="N106" s="134"/>
      <c r="O106" s="135">
        <f>+AVERAGE(E18:E83)</f>
        <v>0.27799999999999997</v>
      </c>
      <c r="P106" s="136"/>
    </row>
    <row r="107" spans="1:26" ht="15" customHeight="1" thickBot="1" x14ac:dyDescent="0.3">
      <c r="A107" s="93"/>
      <c r="B107" s="127"/>
      <c r="C107" s="128"/>
      <c r="D107" s="128"/>
      <c r="E107" s="128"/>
      <c r="F107" s="129"/>
      <c r="G107" s="127"/>
      <c r="H107" s="128"/>
      <c r="I107" s="128"/>
      <c r="J107" s="128"/>
      <c r="K107" s="129"/>
      <c r="L107" s="137" t="s">
        <v>99</v>
      </c>
      <c r="M107" s="138"/>
      <c r="N107" s="138"/>
      <c r="O107" s="139">
        <f>MAX(E18:E83)</f>
        <v>0.52400000000000002</v>
      </c>
      <c r="P107" s="140"/>
    </row>
    <row r="108" spans="1:26" ht="18.600000000000001" customHeight="1" x14ac:dyDescent="0.25">
      <c r="A108" s="94"/>
      <c r="B108" s="127"/>
      <c r="C108" s="128"/>
      <c r="D108" s="128"/>
      <c r="E108" s="128"/>
      <c r="F108" s="129"/>
      <c r="G108" s="127"/>
      <c r="H108" s="128"/>
      <c r="I108" s="128"/>
      <c r="J108" s="128"/>
      <c r="K108" s="129"/>
      <c r="L108" s="141"/>
      <c r="M108" s="142"/>
      <c r="N108" s="142"/>
      <c r="O108" s="142"/>
      <c r="P108" s="143"/>
    </row>
    <row r="109" spans="1:26" ht="42" customHeight="1" x14ac:dyDescent="0.25">
      <c r="A109" s="95"/>
      <c r="B109" s="127"/>
      <c r="C109" s="128"/>
      <c r="D109" s="128"/>
      <c r="E109" s="128"/>
      <c r="F109" s="129"/>
      <c r="G109" s="127"/>
      <c r="H109" s="128"/>
      <c r="I109" s="128"/>
      <c r="J109" s="128"/>
      <c r="K109" s="129"/>
      <c r="L109" s="144"/>
      <c r="M109" s="145"/>
      <c r="N109" s="145"/>
      <c r="O109" s="145"/>
      <c r="P109" s="146"/>
    </row>
    <row r="110" spans="1:26" ht="15" customHeight="1" thickBot="1" x14ac:dyDescent="0.3">
      <c r="A110" s="93"/>
      <c r="B110" s="127"/>
      <c r="C110" s="128"/>
      <c r="D110" s="128"/>
      <c r="E110" s="128"/>
      <c r="F110" s="129"/>
      <c r="G110" s="127"/>
      <c r="H110" s="128"/>
      <c r="I110" s="128"/>
      <c r="J110" s="128"/>
      <c r="K110" s="129"/>
      <c r="L110" s="147"/>
      <c r="M110" s="148"/>
      <c r="N110" s="148"/>
      <c r="O110" s="148"/>
      <c r="P110" s="149"/>
    </row>
    <row r="111" spans="1:26" ht="22.5" customHeight="1" thickBot="1" x14ac:dyDescent="0.3">
      <c r="A111" s="93"/>
      <c r="B111" s="127"/>
      <c r="C111" s="128"/>
      <c r="D111" s="128"/>
      <c r="E111" s="128"/>
      <c r="F111" s="129"/>
      <c r="G111" s="127"/>
      <c r="H111" s="128"/>
      <c r="I111" s="128"/>
      <c r="J111" s="128"/>
      <c r="K111" s="129"/>
      <c r="L111" s="150" t="s">
        <v>34</v>
      </c>
      <c r="M111" s="151"/>
      <c r="N111" s="151"/>
      <c r="O111" s="151"/>
      <c r="P111" s="90">
        <v>6.76</v>
      </c>
    </row>
    <row r="112" spans="1:26" ht="32.25" customHeight="1" thickBot="1" x14ac:dyDescent="0.3">
      <c r="A112" s="93"/>
      <c r="B112" s="130"/>
      <c r="C112" s="131"/>
      <c r="D112" s="131"/>
      <c r="E112" s="131"/>
      <c r="F112" s="132"/>
      <c r="G112" s="130"/>
      <c r="H112" s="131"/>
      <c r="I112" s="131"/>
      <c r="J112" s="131"/>
      <c r="K112" s="132"/>
      <c r="L112" s="152" t="s">
        <v>103</v>
      </c>
      <c r="M112" s="153"/>
      <c r="N112" s="153"/>
      <c r="O112" s="153"/>
      <c r="P112" s="90" t="s">
        <v>111</v>
      </c>
    </row>
    <row r="113" spans="1:16" ht="23.45" customHeight="1" thickBot="1" x14ac:dyDescent="0.3">
      <c r="A113" s="5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</row>
    <row r="114" spans="1:16" ht="15.75" thickBot="1" x14ac:dyDescent="0.3">
      <c r="A114" s="114" t="s">
        <v>35</v>
      </c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6"/>
    </row>
    <row r="115" spans="1:16" ht="159" customHeight="1" thickBot="1" x14ac:dyDescent="0.3">
      <c r="A115" s="4"/>
      <c r="B115" s="300"/>
      <c r="C115" s="301"/>
      <c r="D115" s="301"/>
      <c r="E115" s="301"/>
      <c r="F115" s="302"/>
      <c r="G115" s="300"/>
      <c r="H115" s="301"/>
      <c r="I115" s="301"/>
      <c r="J115" s="301"/>
      <c r="K115" s="302"/>
      <c r="L115" s="300"/>
      <c r="M115" s="301"/>
      <c r="N115" s="301"/>
      <c r="O115" s="301"/>
      <c r="P115" s="308"/>
    </row>
    <row r="116" spans="1:16" ht="21.75" customHeight="1" thickBot="1" x14ac:dyDescent="0.3">
      <c r="A116" s="4"/>
      <c r="B116" s="120" t="s">
        <v>116</v>
      </c>
      <c r="C116" s="121"/>
      <c r="D116" s="121"/>
      <c r="E116" s="121"/>
      <c r="F116" s="122"/>
      <c r="G116" s="120" t="s">
        <v>116</v>
      </c>
      <c r="H116" s="121"/>
      <c r="I116" s="121"/>
      <c r="J116" s="121"/>
      <c r="K116" s="122"/>
      <c r="L116" s="120" t="s">
        <v>116</v>
      </c>
      <c r="M116" s="121"/>
      <c r="N116" s="121"/>
      <c r="O116" s="121"/>
      <c r="P116" s="123"/>
    </row>
    <row r="117" spans="1:16" s="7" customFormat="1" ht="16.899999999999999" customHeight="1" thickBot="1" x14ac:dyDescent="0.3">
      <c r="A117" s="6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9"/>
    </row>
    <row r="118" spans="1:16" s="3" customFormat="1" ht="15.75" customHeight="1" thickBot="1" x14ac:dyDescent="0.25">
      <c r="A118" s="110" t="s">
        <v>36</v>
      </c>
      <c r="B118" s="111"/>
      <c r="C118" s="111"/>
      <c r="D118" s="111"/>
      <c r="E118" s="111"/>
      <c r="F118" s="111"/>
      <c r="G118" s="111"/>
      <c r="H118" s="111"/>
      <c r="I118" s="111"/>
      <c r="J118" s="111" t="s">
        <v>37</v>
      </c>
      <c r="K118" s="111"/>
      <c r="L118" s="111"/>
      <c r="M118" s="111"/>
      <c r="N118" s="111"/>
      <c r="O118" s="111"/>
      <c r="P118" s="112"/>
    </row>
  </sheetData>
  <mergeCells count="23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9:M83"/>
    <mergeCell ref="N79:N83"/>
    <mergeCell ref="O79:O83"/>
    <mergeCell ref="P79:P83"/>
    <mergeCell ref="B84:B89"/>
    <mergeCell ref="C84:P89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C90:H90"/>
    <mergeCell ref="I90:I91"/>
    <mergeCell ref="K90:P90"/>
    <mergeCell ref="C91:H91"/>
    <mergeCell ref="K91:P91"/>
    <mergeCell ref="B92:B102"/>
    <mergeCell ref="C92:C96"/>
    <mergeCell ref="D92:D96"/>
    <mergeCell ref="E92:E102"/>
    <mergeCell ref="K92:K102"/>
    <mergeCell ref="B103:J104"/>
    <mergeCell ref="O103:O104"/>
    <mergeCell ref="P103:P104"/>
    <mergeCell ref="B105:F105"/>
    <mergeCell ref="G105:K105"/>
    <mergeCell ref="L105:P105"/>
    <mergeCell ref="L92:L102"/>
    <mergeCell ref="M92:M102"/>
    <mergeCell ref="N92:N102"/>
    <mergeCell ref="O92:O102"/>
    <mergeCell ref="P92:P102"/>
    <mergeCell ref="C97:C102"/>
    <mergeCell ref="D97:D102"/>
    <mergeCell ref="B106:F112"/>
    <mergeCell ref="G106:K112"/>
    <mergeCell ref="L106:N106"/>
    <mergeCell ref="O106:P106"/>
    <mergeCell ref="L107:N107"/>
    <mergeCell ref="O107:P107"/>
    <mergeCell ref="L108:P110"/>
    <mergeCell ref="L111:O111"/>
    <mergeCell ref="L112:O112"/>
    <mergeCell ref="B117:P117"/>
    <mergeCell ref="A118:C118"/>
    <mergeCell ref="D118:I118"/>
    <mergeCell ref="J118:K118"/>
    <mergeCell ref="L118:P118"/>
    <mergeCell ref="B113:P113"/>
    <mergeCell ref="A114:P114"/>
    <mergeCell ref="B115:F115"/>
    <mergeCell ref="G115:K115"/>
    <mergeCell ref="L115:P115"/>
    <mergeCell ref="B116:F116"/>
    <mergeCell ref="G116:K116"/>
    <mergeCell ref="L116:P116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53"/>
  <sheetViews>
    <sheetView view="pageBreakPreview" zoomScaleSheetLayoutView="10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9" width="10.7109375" customWidth="1"/>
    <col min="10" max="10" width="13.140625" customWidth="1"/>
    <col min="11" max="12" width="10.7109375" customWidth="1"/>
    <col min="13" max="13" width="11.7109375" customWidth="1"/>
    <col min="14" max="16" width="10.7109375" customWidth="1"/>
  </cols>
  <sheetData>
    <row r="1" spans="1:26" ht="4.9000000000000004" customHeight="1" thickBot="1" x14ac:dyDescent="0.3">
      <c r="J1" s="14"/>
    </row>
    <row r="2" spans="1:26" s="2" customFormat="1" ht="30" customHeight="1" x14ac:dyDescent="0.25">
      <c r="A2" s="319"/>
      <c r="B2" s="320"/>
      <c r="C2" s="321"/>
      <c r="D2" s="322"/>
      <c r="E2" s="323" t="s">
        <v>121</v>
      </c>
      <c r="F2" s="324"/>
      <c r="G2" s="324"/>
      <c r="H2" s="324"/>
      <c r="I2" s="324"/>
      <c r="J2" s="324"/>
      <c r="K2" s="324"/>
      <c r="L2" s="324"/>
      <c r="M2" s="324"/>
      <c r="N2" s="324"/>
      <c r="O2" s="325"/>
      <c r="P2" s="326"/>
    </row>
    <row r="3" spans="1:26" s="2" customFormat="1" ht="25.5" customHeight="1" thickBot="1" x14ac:dyDescent="0.3">
      <c r="A3" s="319"/>
      <c r="B3" s="327"/>
      <c r="C3" s="328"/>
      <c r="D3" s="329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2"/>
      <c r="P3" s="333"/>
    </row>
    <row r="4" spans="1:26" s="91" customFormat="1" ht="11.25" customHeight="1" thickBot="1" x14ac:dyDescent="0.3">
      <c r="A4" s="15"/>
      <c r="B4" s="294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18" customFormat="1" ht="31.5" customHeight="1" thickBot="1" x14ac:dyDescent="0.3">
      <c r="A5" s="16"/>
      <c r="B5" s="69" t="s">
        <v>0</v>
      </c>
      <c r="C5" s="295">
        <v>43167</v>
      </c>
      <c r="D5" s="296"/>
      <c r="E5" s="70" t="s">
        <v>50</v>
      </c>
      <c r="F5" s="71">
        <v>4</v>
      </c>
      <c r="G5" s="72" t="s">
        <v>1</v>
      </c>
      <c r="H5" s="297" t="s">
        <v>122</v>
      </c>
      <c r="I5" s="298"/>
      <c r="J5" s="298"/>
      <c r="K5" s="298"/>
      <c r="L5" s="298"/>
      <c r="M5" s="298"/>
      <c r="N5" s="298"/>
      <c r="O5" s="298"/>
      <c r="P5" s="299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s="77" customFormat="1" ht="21.75" customHeight="1" thickBot="1" x14ac:dyDescent="0.3">
      <c r="A6" s="73"/>
      <c r="B6" s="278" t="s">
        <v>2</v>
      </c>
      <c r="C6" s="279"/>
      <c r="D6" s="280" t="s">
        <v>117</v>
      </c>
      <c r="E6" s="281"/>
      <c r="F6" s="281"/>
      <c r="G6" s="281"/>
      <c r="H6" s="281"/>
      <c r="I6" s="282"/>
      <c r="J6" s="74" t="s">
        <v>3</v>
      </c>
      <c r="K6" s="283" t="s">
        <v>108</v>
      </c>
      <c r="L6" s="282"/>
      <c r="M6" s="283" t="s">
        <v>109</v>
      </c>
      <c r="N6" s="284"/>
      <c r="O6" s="75" t="s">
        <v>51</v>
      </c>
      <c r="P6" s="76">
        <v>1690</v>
      </c>
    </row>
    <row r="7" spans="1:26" s="18" customFormat="1" ht="21.75" customHeight="1" x14ac:dyDescent="0.25">
      <c r="B7" s="285" t="s">
        <v>52</v>
      </c>
      <c r="C7" s="286" t="s">
        <v>53</v>
      </c>
      <c r="D7" s="256"/>
      <c r="E7" s="78"/>
      <c r="F7" s="287" t="s">
        <v>54</v>
      </c>
      <c r="G7" s="288"/>
      <c r="H7" s="288"/>
      <c r="I7" s="288"/>
      <c r="J7" s="289" t="s">
        <v>55</v>
      </c>
      <c r="K7" s="290"/>
      <c r="L7" s="290"/>
      <c r="M7" s="291"/>
      <c r="N7" s="292" t="s">
        <v>101</v>
      </c>
      <c r="O7" s="293"/>
      <c r="P7" s="79" t="s">
        <v>56</v>
      </c>
    </row>
    <row r="8" spans="1:26" s="18" customFormat="1" ht="21.75" customHeight="1" thickBot="1" x14ac:dyDescent="0.3">
      <c r="B8" s="230"/>
      <c r="C8" s="247" t="s">
        <v>57</v>
      </c>
      <c r="D8" s="246"/>
      <c r="E8" s="80" t="s">
        <v>4</v>
      </c>
      <c r="F8" s="257" t="s">
        <v>5</v>
      </c>
      <c r="G8" s="258"/>
      <c r="H8" s="258"/>
      <c r="I8" s="258"/>
      <c r="J8" s="259"/>
      <c r="K8" s="260"/>
      <c r="L8" s="260"/>
      <c r="M8" s="261"/>
      <c r="N8" s="262"/>
      <c r="O8" s="263"/>
      <c r="P8" s="81"/>
    </row>
    <row r="9" spans="1:26" s="18" customFormat="1" ht="21.75" customHeight="1" x14ac:dyDescent="0.25">
      <c r="B9" s="264" t="s">
        <v>6</v>
      </c>
      <c r="C9" s="267" t="s">
        <v>58</v>
      </c>
      <c r="D9" s="268" t="s">
        <v>59</v>
      </c>
      <c r="E9" s="253"/>
      <c r="F9" s="82"/>
      <c r="G9" s="269" t="s">
        <v>7</v>
      </c>
      <c r="H9" s="270" t="s">
        <v>8</v>
      </c>
      <c r="I9" s="256"/>
      <c r="J9" s="83"/>
      <c r="K9" s="267" t="s">
        <v>60</v>
      </c>
      <c r="L9" s="271" t="s">
        <v>118</v>
      </c>
      <c r="M9" s="272"/>
      <c r="N9" s="273"/>
      <c r="O9" s="273"/>
      <c r="P9" s="274"/>
    </row>
    <row r="10" spans="1:26" s="18" customFormat="1" ht="21.75" customHeight="1" thickBot="1" x14ac:dyDescent="0.3">
      <c r="B10" s="265"/>
      <c r="C10" s="210"/>
      <c r="D10" s="251" t="s">
        <v>61</v>
      </c>
      <c r="E10" s="246"/>
      <c r="F10" s="84" t="s">
        <v>4</v>
      </c>
      <c r="G10" s="210"/>
      <c r="H10" s="251" t="s">
        <v>9</v>
      </c>
      <c r="I10" s="246"/>
      <c r="J10" s="85" t="s">
        <v>4</v>
      </c>
      <c r="K10" s="210"/>
      <c r="L10" s="275"/>
      <c r="M10" s="276"/>
      <c r="N10" s="276"/>
      <c r="O10" s="276"/>
      <c r="P10" s="277"/>
    </row>
    <row r="11" spans="1:26" s="18" customFormat="1" ht="21.75" customHeight="1" x14ac:dyDescent="0.25">
      <c r="A11" s="16"/>
      <c r="B11" s="265"/>
      <c r="C11" s="252" t="s">
        <v>10</v>
      </c>
      <c r="D11" s="253"/>
      <c r="E11" s="86">
        <v>0.44166666666666665</v>
      </c>
      <c r="F11" s="254" t="s">
        <v>11</v>
      </c>
      <c r="G11" s="253"/>
      <c r="H11" s="87">
        <v>1.33</v>
      </c>
      <c r="I11" s="255" t="s">
        <v>12</v>
      </c>
      <c r="J11" s="256"/>
      <c r="K11" s="87">
        <v>20</v>
      </c>
      <c r="L11" s="252" t="s">
        <v>13</v>
      </c>
      <c r="M11" s="253"/>
      <c r="N11" s="88">
        <v>12</v>
      </c>
      <c r="O11" s="243" t="s">
        <v>62</v>
      </c>
      <c r="P11" s="244"/>
    </row>
    <row r="12" spans="1:26" s="18" customFormat="1" ht="21.75" customHeight="1" thickBot="1" x14ac:dyDescent="0.3">
      <c r="A12" s="16"/>
      <c r="B12" s="266"/>
      <c r="C12" s="245" t="s">
        <v>14</v>
      </c>
      <c r="D12" s="246"/>
      <c r="E12" s="86">
        <v>0.47916666666666669</v>
      </c>
      <c r="F12" s="247" t="s">
        <v>15</v>
      </c>
      <c r="G12" s="246"/>
      <c r="H12" s="87">
        <v>1.33</v>
      </c>
      <c r="I12" s="248" t="s">
        <v>16</v>
      </c>
      <c r="J12" s="246"/>
      <c r="K12" s="86">
        <v>0.4284722222222222</v>
      </c>
      <c r="L12" s="245" t="s">
        <v>17</v>
      </c>
      <c r="M12" s="246"/>
      <c r="N12" s="89">
        <v>0.6</v>
      </c>
      <c r="O12" s="249">
        <v>2.4</v>
      </c>
      <c r="P12" s="250"/>
    </row>
    <row r="13" spans="1:26" s="18" customFormat="1" ht="21.75" customHeight="1" x14ac:dyDescent="0.25">
      <c r="A13" s="16"/>
      <c r="B13" s="228" t="s">
        <v>18</v>
      </c>
      <c r="C13" s="231" t="s">
        <v>63</v>
      </c>
      <c r="D13" s="232"/>
      <c r="E13" s="232"/>
      <c r="F13" s="233" t="s">
        <v>64</v>
      </c>
      <c r="G13" s="232"/>
      <c r="H13" s="232"/>
      <c r="I13" s="232"/>
      <c r="J13" s="233" t="s">
        <v>65</v>
      </c>
      <c r="K13" s="232"/>
      <c r="L13" s="232"/>
      <c r="M13" s="232"/>
      <c r="N13" s="234" t="s">
        <v>66</v>
      </c>
      <c r="O13" s="232"/>
      <c r="P13" s="235"/>
      <c r="Q13" s="92"/>
      <c r="R13" s="17"/>
      <c r="S13" s="17"/>
      <c r="T13" s="17"/>
      <c r="U13" s="17"/>
      <c r="V13" s="17"/>
      <c r="W13" s="17"/>
      <c r="X13" s="17"/>
      <c r="Y13" s="17"/>
      <c r="Z13" s="17"/>
    </row>
    <row r="14" spans="1:26" s="18" customFormat="1" ht="21.75" customHeight="1" x14ac:dyDescent="0.25">
      <c r="A14" s="16"/>
      <c r="B14" s="229"/>
      <c r="C14" s="236" t="s">
        <v>67</v>
      </c>
      <c r="D14" s="237"/>
      <c r="E14" s="237"/>
      <c r="F14" s="238" t="s">
        <v>68</v>
      </c>
      <c r="G14" s="237"/>
      <c r="H14" s="237"/>
      <c r="I14" s="237"/>
      <c r="J14" s="239" t="s">
        <v>69</v>
      </c>
      <c r="K14" s="237"/>
      <c r="L14" s="237"/>
      <c r="M14" s="237"/>
      <c r="N14" s="240"/>
      <c r="O14" s="225"/>
      <c r="P14" s="241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s="18" customFormat="1" ht="21.75" customHeight="1" thickBot="1" x14ac:dyDescent="0.3">
      <c r="A15" s="16"/>
      <c r="B15" s="230"/>
      <c r="C15" s="242" t="s">
        <v>70</v>
      </c>
      <c r="D15" s="212"/>
      <c r="E15" s="212"/>
      <c r="F15" s="212" t="s">
        <v>71</v>
      </c>
      <c r="G15" s="213"/>
      <c r="H15" s="213"/>
      <c r="I15" s="213"/>
      <c r="J15" s="212" t="s">
        <v>72</v>
      </c>
      <c r="K15" s="213"/>
      <c r="L15" s="213"/>
      <c r="M15" s="213"/>
      <c r="N15" s="214"/>
      <c r="O15" s="215"/>
      <c r="P15" s="216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s="18" customFormat="1" ht="21.75" customHeight="1" x14ac:dyDescent="0.25">
      <c r="A16" s="16"/>
      <c r="B16" s="217" t="s">
        <v>19</v>
      </c>
      <c r="C16" s="219" t="s">
        <v>20</v>
      </c>
      <c r="D16" s="219" t="s">
        <v>40</v>
      </c>
      <c r="E16" s="221" t="s">
        <v>21</v>
      </c>
      <c r="F16" s="222" t="s">
        <v>41</v>
      </c>
      <c r="G16" s="223"/>
      <c r="H16" s="219" t="s">
        <v>73</v>
      </c>
      <c r="I16" s="226" t="s">
        <v>74</v>
      </c>
      <c r="J16" s="19" t="s">
        <v>42</v>
      </c>
      <c r="K16" s="20"/>
      <c r="L16" s="21" t="s">
        <v>43</v>
      </c>
      <c r="M16" s="21" t="s">
        <v>44</v>
      </c>
      <c r="N16" s="21" t="s">
        <v>44</v>
      </c>
      <c r="O16" s="21" t="s">
        <v>45</v>
      </c>
      <c r="P16" s="22" t="s">
        <v>22</v>
      </c>
    </row>
    <row r="17" spans="1:26" s="18" customFormat="1" ht="21.75" customHeight="1" thickBot="1" x14ac:dyDescent="0.3">
      <c r="A17" s="23"/>
      <c r="B17" s="218"/>
      <c r="C17" s="220"/>
      <c r="D17" s="220"/>
      <c r="E17" s="220"/>
      <c r="F17" s="224"/>
      <c r="G17" s="225"/>
      <c r="H17" s="220"/>
      <c r="I17" s="227"/>
      <c r="J17" s="24" t="s">
        <v>23</v>
      </c>
      <c r="K17" s="25" t="s">
        <v>24</v>
      </c>
      <c r="L17" s="25" t="s">
        <v>46</v>
      </c>
      <c r="M17" s="25" t="s">
        <v>47</v>
      </c>
      <c r="N17" s="25" t="s">
        <v>25</v>
      </c>
      <c r="O17" s="25" t="s">
        <v>26</v>
      </c>
      <c r="P17" s="26" t="s">
        <v>27</v>
      </c>
    </row>
    <row r="18" spans="1:26" s="35" customFormat="1" ht="21.75" customHeight="1" thickBot="1" x14ac:dyDescent="0.3">
      <c r="A18" s="27"/>
      <c r="B18" s="28"/>
      <c r="C18" s="29">
        <f>+O12</f>
        <v>2.4</v>
      </c>
      <c r="D18" s="29">
        <v>0</v>
      </c>
      <c r="E18" s="30"/>
      <c r="F18" s="31"/>
      <c r="G18" s="97"/>
      <c r="H18" s="32"/>
      <c r="I18" s="33"/>
      <c r="J18" s="96"/>
      <c r="K18" s="30"/>
      <c r="L18" s="30"/>
      <c r="M18" s="30"/>
      <c r="N18" s="30"/>
      <c r="O18" s="30"/>
      <c r="P18" s="34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s="35" customFormat="1" ht="13.5" customHeight="1" x14ac:dyDescent="0.25">
      <c r="A19" s="27" t="s">
        <v>119</v>
      </c>
      <c r="B19" s="208">
        <v>1</v>
      </c>
      <c r="C19" s="211">
        <f>+C18+N12</f>
        <v>3</v>
      </c>
      <c r="D19" s="188">
        <v>7.4999999999999997E-2</v>
      </c>
      <c r="E19" s="188">
        <v>9.1999999999999998E-2</v>
      </c>
      <c r="F19" s="36" t="s">
        <v>75</v>
      </c>
      <c r="G19" s="37">
        <v>0</v>
      </c>
      <c r="H19" s="38"/>
      <c r="I19" s="39"/>
      <c r="J19" s="40">
        <v>4.0000000000000001E-3</v>
      </c>
      <c r="K19" s="188">
        <f t="shared" ref="K19" si="0">+IF(E19&lt;=0.12,(J21),(IF(E19&lt;0.16,((J20+2*J21+J22)/4),IF(E19&gt;=0.16,((J19+3*J20+2*J21+3*J22+J23)/10)))))</f>
        <v>9.1999999999999998E-2</v>
      </c>
      <c r="L19" s="188">
        <f>ROUND(+(D18+D19)/2*(C19-C18),3)</f>
        <v>2.3E-2</v>
      </c>
      <c r="M19" s="188">
        <f t="shared" ref="M19" si="1">ROUND(+K19*L19,4)</f>
        <v>2.0999999999999999E-3</v>
      </c>
      <c r="N19" s="191">
        <f>ROUND(+M19/$M$138*100,2)</f>
        <v>0.32</v>
      </c>
      <c r="O19" s="192"/>
      <c r="P19" s="193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s="35" customFormat="1" ht="13.5" customHeight="1" x14ac:dyDescent="0.25">
      <c r="A20" s="27"/>
      <c r="B20" s="209"/>
      <c r="C20" s="189"/>
      <c r="D20" s="189"/>
      <c r="E20" s="189"/>
      <c r="F20" s="41" t="s">
        <v>76</v>
      </c>
      <c r="G20" s="42" t="str">
        <f t="shared" ref="G20" si="2">IF(E19&lt;0.125,"NA",IF(0.125&lt;=E19,(0.2*E19)))</f>
        <v>NA</v>
      </c>
      <c r="H20" s="43"/>
      <c r="I20" s="44"/>
      <c r="J20" s="45"/>
      <c r="K20" s="189"/>
      <c r="L20" s="189"/>
      <c r="M20" s="189"/>
      <c r="N20" s="189"/>
      <c r="O20" s="189"/>
      <c r="P20" s="194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s="35" customFormat="1" ht="13.5" customHeight="1" x14ac:dyDescent="0.25">
      <c r="A21" s="27"/>
      <c r="B21" s="209"/>
      <c r="C21" s="189"/>
      <c r="D21" s="189"/>
      <c r="E21" s="189"/>
      <c r="F21" s="41" t="s">
        <v>77</v>
      </c>
      <c r="G21" s="42">
        <f t="shared" ref="G21" si="3">+E19*0.4</f>
        <v>3.6799999999999999E-2</v>
      </c>
      <c r="H21" s="43"/>
      <c r="I21" s="44"/>
      <c r="J21" s="45">
        <v>9.1999999999999998E-2</v>
      </c>
      <c r="K21" s="189"/>
      <c r="L21" s="189"/>
      <c r="M21" s="189"/>
      <c r="N21" s="189"/>
      <c r="O21" s="189"/>
      <c r="P21" s="194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s="35" customFormat="1" ht="13.5" customHeight="1" x14ac:dyDescent="0.25">
      <c r="A22" s="27"/>
      <c r="B22" s="209"/>
      <c r="C22" s="189"/>
      <c r="D22" s="189"/>
      <c r="E22" s="189"/>
      <c r="F22" s="41" t="s">
        <v>78</v>
      </c>
      <c r="G22" s="42" t="str">
        <f t="shared" ref="G22" si="4">IF(E19&lt;0.125,"NA",IF(0.125&lt;=E19,(0.8*E19)))</f>
        <v>NA</v>
      </c>
      <c r="H22" s="43"/>
      <c r="I22" s="44"/>
      <c r="J22" s="45"/>
      <c r="K22" s="189"/>
      <c r="L22" s="189"/>
      <c r="M22" s="189"/>
      <c r="N22" s="189"/>
      <c r="O22" s="189"/>
      <c r="P22" s="194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s="35" customFormat="1" ht="13.5" customHeight="1" thickBot="1" x14ac:dyDescent="0.3">
      <c r="A23" s="27"/>
      <c r="B23" s="210"/>
      <c r="C23" s="190"/>
      <c r="D23" s="190"/>
      <c r="E23" s="190"/>
      <c r="F23" s="46" t="s">
        <v>79</v>
      </c>
      <c r="G23" s="47">
        <f t="shared" ref="G23" si="5">+E19</f>
        <v>9.1999999999999998E-2</v>
      </c>
      <c r="H23" s="48"/>
      <c r="I23" s="49"/>
      <c r="J23" s="50">
        <v>6.9000000000000006E-2</v>
      </c>
      <c r="K23" s="190"/>
      <c r="L23" s="190"/>
      <c r="M23" s="190"/>
      <c r="N23" s="190"/>
      <c r="O23" s="190"/>
      <c r="P23" s="195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s="35" customFormat="1" ht="13.5" customHeight="1" x14ac:dyDescent="0.25">
      <c r="A24" s="27"/>
      <c r="B24" s="208">
        <f>+B19+1</f>
        <v>2</v>
      </c>
      <c r="C24" s="211">
        <f>+C19+$N$12</f>
        <v>3.6</v>
      </c>
      <c r="D24" s="188">
        <v>0.12</v>
      </c>
      <c r="E24" s="188">
        <v>0.11700000000000001</v>
      </c>
      <c r="F24" s="36" t="s">
        <v>75</v>
      </c>
      <c r="G24" s="37">
        <v>0</v>
      </c>
      <c r="H24" s="38"/>
      <c r="I24" s="39"/>
      <c r="J24" s="40">
        <v>0.17499999999999999</v>
      </c>
      <c r="K24" s="188">
        <f t="shared" ref="K24" si="6">+IF(E24&lt;=0.12,(J26),(IF(E24&lt;0.16,((J25+2*J26+J27)/4),IF(E24&gt;=0.16,((J24+3*J25+2*J26+3*J27+J28)/10)))))</f>
        <v>0.16600000000000001</v>
      </c>
      <c r="L24" s="188">
        <f>ROUND(+(D19+D24)/2*(C24-C19),3)</f>
        <v>5.8999999999999997E-2</v>
      </c>
      <c r="M24" s="188">
        <f t="shared" ref="M24" si="7">ROUND(+K24*L24,4)</f>
        <v>9.7999999999999997E-3</v>
      </c>
      <c r="N24" s="191">
        <f t="shared" ref="N24" si="8">ROUND(+M24/$M$138*100,2)</f>
        <v>1.52</v>
      </c>
      <c r="O24" s="192"/>
      <c r="P24" s="193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s="35" customFormat="1" ht="13.5" customHeight="1" x14ac:dyDescent="0.25">
      <c r="A25" s="27"/>
      <c r="B25" s="209"/>
      <c r="C25" s="189"/>
      <c r="D25" s="189"/>
      <c r="E25" s="189"/>
      <c r="F25" s="41" t="s">
        <v>76</v>
      </c>
      <c r="G25" s="42" t="str">
        <f t="shared" ref="G25" si="9">IF(E24&lt;0.125,"NA",IF(0.125&lt;=E24,(0.2*E24)))</f>
        <v>NA</v>
      </c>
      <c r="H25" s="43"/>
      <c r="I25" s="44"/>
      <c r="J25" s="45"/>
      <c r="K25" s="189"/>
      <c r="L25" s="189"/>
      <c r="M25" s="189"/>
      <c r="N25" s="189"/>
      <c r="O25" s="189"/>
      <c r="P25" s="194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s="35" customFormat="1" ht="13.5" customHeight="1" x14ac:dyDescent="0.25">
      <c r="A26" s="27"/>
      <c r="B26" s="209"/>
      <c r="C26" s="189"/>
      <c r="D26" s="189"/>
      <c r="E26" s="189"/>
      <c r="F26" s="41" t="s">
        <v>77</v>
      </c>
      <c r="G26" s="42">
        <f t="shared" ref="G26" si="10">+E24*0.4</f>
        <v>4.6800000000000008E-2</v>
      </c>
      <c r="H26" s="43"/>
      <c r="I26" s="44"/>
      <c r="J26" s="45">
        <v>0.16600000000000001</v>
      </c>
      <c r="K26" s="189"/>
      <c r="L26" s="189"/>
      <c r="M26" s="189"/>
      <c r="N26" s="189"/>
      <c r="O26" s="189"/>
      <c r="P26" s="194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s="35" customFormat="1" ht="13.5" customHeight="1" x14ac:dyDescent="0.25">
      <c r="A27" s="27"/>
      <c r="B27" s="209"/>
      <c r="C27" s="189"/>
      <c r="D27" s="189"/>
      <c r="E27" s="189"/>
      <c r="F27" s="41" t="s">
        <v>78</v>
      </c>
      <c r="G27" s="42" t="str">
        <f t="shared" ref="G27" si="11">IF(E24&lt;0.125,"NA",IF(0.125&lt;=E24,(0.8*E24)))</f>
        <v>NA</v>
      </c>
      <c r="H27" s="43"/>
      <c r="I27" s="44"/>
      <c r="J27" s="45"/>
      <c r="K27" s="189"/>
      <c r="L27" s="189"/>
      <c r="M27" s="189"/>
      <c r="N27" s="189"/>
      <c r="O27" s="189"/>
      <c r="P27" s="194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s="35" customFormat="1" ht="13.5" customHeight="1" thickBot="1" x14ac:dyDescent="0.3">
      <c r="A28" s="27"/>
      <c r="B28" s="210"/>
      <c r="C28" s="190"/>
      <c r="D28" s="190"/>
      <c r="E28" s="190"/>
      <c r="F28" s="46" t="s">
        <v>79</v>
      </c>
      <c r="G28" s="47">
        <f t="shared" ref="G28" si="12">+E24</f>
        <v>0.11700000000000001</v>
      </c>
      <c r="H28" s="48"/>
      <c r="I28" s="49"/>
      <c r="J28" s="50">
        <v>0.19600000000000001</v>
      </c>
      <c r="K28" s="190"/>
      <c r="L28" s="190"/>
      <c r="M28" s="190"/>
      <c r="N28" s="190"/>
      <c r="O28" s="190"/>
      <c r="P28" s="195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s="35" customFormat="1" ht="13.5" customHeight="1" x14ac:dyDescent="0.25">
      <c r="A29" s="27"/>
      <c r="B29" s="208">
        <f t="shared" ref="B29" si="13">+B24+1</f>
        <v>3</v>
      </c>
      <c r="C29" s="211">
        <f t="shared" ref="C29" si="14">+C24+$N$12</f>
        <v>4.2</v>
      </c>
      <c r="D29" s="188">
        <v>0.14499999999999999</v>
      </c>
      <c r="E29" s="188">
        <v>0.16</v>
      </c>
      <c r="F29" s="36" t="s">
        <v>75</v>
      </c>
      <c r="G29" s="37">
        <v>0</v>
      </c>
      <c r="H29" s="38"/>
      <c r="I29" s="39"/>
      <c r="J29" s="40">
        <v>0.151</v>
      </c>
      <c r="K29" s="188">
        <f t="shared" ref="K29" si="15">+IF(E29&lt;=0.12,(J31),(IF(E29&lt;0.16,((J30+2*J31+J32)/4),IF(E29&gt;=0.16,((J29+3*J30+2*J31+3*J32+J33)/10)))))</f>
        <v>0.23920000000000002</v>
      </c>
      <c r="L29" s="188">
        <f t="shared" ref="L29" si="16">ROUND(+(D24+D29)/2*(C29-C24),3)</f>
        <v>0.08</v>
      </c>
      <c r="M29" s="188">
        <f t="shared" ref="M29" si="17">ROUND(+K29*L29,4)</f>
        <v>1.9099999999999999E-2</v>
      </c>
      <c r="N29" s="191">
        <f t="shared" ref="N29" si="18">ROUND(+M29/$M$138*100,2)</f>
        <v>2.95</v>
      </c>
      <c r="O29" s="192"/>
      <c r="P29" s="193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s="35" customFormat="1" ht="13.5" customHeight="1" x14ac:dyDescent="0.25">
      <c r="A30" s="27"/>
      <c r="B30" s="209"/>
      <c r="C30" s="189"/>
      <c r="D30" s="189"/>
      <c r="E30" s="189"/>
      <c r="F30" s="41" t="s">
        <v>76</v>
      </c>
      <c r="G30" s="42">
        <f t="shared" ref="G30" si="19">IF(E29&lt;0.125,"NA",IF(0.125&lt;=E29,(0.2*E29)))</f>
        <v>3.2000000000000001E-2</v>
      </c>
      <c r="H30" s="43"/>
      <c r="I30" s="44"/>
      <c r="J30" s="45">
        <v>0.22800000000000001</v>
      </c>
      <c r="K30" s="189"/>
      <c r="L30" s="189"/>
      <c r="M30" s="189"/>
      <c r="N30" s="189"/>
      <c r="O30" s="189"/>
      <c r="P30" s="194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s="35" customFormat="1" ht="13.5" customHeight="1" x14ac:dyDescent="0.25">
      <c r="A31" s="27"/>
      <c r="B31" s="209"/>
      <c r="C31" s="189"/>
      <c r="D31" s="189"/>
      <c r="E31" s="189"/>
      <c r="F31" s="41" t="s">
        <v>77</v>
      </c>
      <c r="G31" s="42">
        <f t="shared" ref="G31" si="20">+E29*0.4</f>
        <v>6.4000000000000001E-2</v>
      </c>
      <c r="H31" s="43"/>
      <c r="I31" s="44"/>
      <c r="J31" s="45">
        <v>0.253</v>
      </c>
      <c r="K31" s="189"/>
      <c r="L31" s="189"/>
      <c r="M31" s="189"/>
      <c r="N31" s="189"/>
      <c r="O31" s="189"/>
      <c r="P31" s="194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s="35" customFormat="1" ht="13.5" customHeight="1" x14ac:dyDescent="0.25">
      <c r="A32" s="27"/>
      <c r="B32" s="209"/>
      <c r="C32" s="189"/>
      <c r="D32" s="189"/>
      <c r="E32" s="189"/>
      <c r="F32" s="41" t="s">
        <v>78</v>
      </c>
      <c r="G32" s="42">
        <f t="shared" ref="G32" si="21">IF(E29&lt;0.125,"NA",IF(0.125&lt;=E29,(0.8*E29)))</f>
        <v>0.128</v>
      </c>
      <c r="H32" s="43"/>
      <c r="I32" s="44"/>
      <c r="J32" s="45">
        <v>0.26500000000000001</v>
      </c>
      <c r="K32" s="189"/>
      <c r="L32" s="189"/>
      <c r="M32" s="189"/>
      <c r="N32" s="189"/>
      <c r="O32" s="189"/>
      <c r="P32" s="194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s="35" customFormat="1" ht="13.5" customHeight="1" thickBot="1" x14ac:dyDescent="0.3">
      <c r="A33" s="27"/>
      <c r="B33" s="210"/>
      <c r="C33" s="190"/>
      <c r="D33" s="190"/>
      <c r="E33" s="190"/>
      <c r="F33" s="46" t="s">
        <v>79</v>
      </c>
      <c r="G33" s="47">
        <f t="shared" ref="G33" si="22">+E29</f>
        <v>0.16</v>
      </c>
      <c r="H33" s="48"/>
      <c r="I33" s="49"/>
      <c r="J33" s="50">
        <v>0.25600000000000001</v>
      </c>
      <c r="K33" s="190"/>
      <c r="L33" s="190"/>
      <c r="M33" s="190"/>
      <c r="N33" s="190"/>
      <c r="O33" s="190"/>
      <c r="P33" s="195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s="35" customFormat="1" ht="13.5" customHeight="1" x14ac:dyDescent="0.25">
      <c r="A34" s="27"/>
      <c r="B34" s="208">
        <f t="shared" ref="B34" si="23">+B29+1</f>
        <v>4</v>
      </c>
      <c r="C34" s="211">
        <f t="shared" ref="C34" si="24">+C29+$N$12</f>
        <v>4.8</v>
      </c>
      <c r="D34" s="188">
        <v>9.7000000000000003E-2</v>
      </c>
      <c r="E34" s="188">
        <v>0.115</v>
      </c>
      <c r="F34" s="36" t="s">
        <v>75</v>
      </c>
      <c r="G34" s="37">
        <v>0</v>
      </c>
      <c r="H34" s="38"/>
      <c r="I34" s="39"/>
      <c r="J34" s="40">
        <v>0.14499999999999999</v>
      </c>
      <c r="K34" s="188">
        <f t="shared" ref="K34" si="25">+IF(E34&lt;=0.12,(J36),(IF(E34&lt;0.16,((J35+2*J36+J37)/4),IF(E34&gt;=0.16,((J34+3*J35+2*J36+3*J37+J38)/10)))))</f>
        <v>0.151</v>
      </c>
      <c r="L34" s="188">
        <f t="shared" ref="L34" si="26">ROUND(+(D29+D34)/2*(C34-C29),3)</f>
        <v>7.2999999999999995E-2</v>
      </c>
      <c r="M34" s="188">
        <f t="shared" ref="M34" si="27">ROUND(+K34*L34,4)</f>
        <v>1.0999999999999999E-2</v>
      </c>
      <c r="N34" s="191">
        <f t="shared" ref="N34" si="28">ROUND(+M34/$M$138*100,2)</f>
        <v>1.7</v>
      </c>
      <c r="O34" s="192"/>
      <c r="P34" s="193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s="35" customFormat="1" ht="13.5" customHeight="1" x14ac:dyDescent="0.25">
      <c r="A35" s="27"/>
      <c r="B35" s="209"/>
      <c r="C35" s="189"/>
      <c r="D35" s="189"/>
      <c r="E35" s="189"/>
      <c r="F35" s="41" t="s">
        <v>76</v>
      </c>
      <c r="G35" s="42" t="str">
        <f t="shared" ref="G35" si="29">IF(E34&lt;0.125,"NA",IF(0.125&lt;=E34,(0.2*E34)))</f>
        <v>NA</v>
      </c>
      <c r="H35" s="43"/>
      <c r="I35" s="44"/>
      <c r="J35" s="45"/>
      <c r="K35" s="189"/>
      <c r="L35" s="189"/>
      <c r="M35" s="189"/>
      <c r="N35" s="189"/>
      <c r="O35" s="189"/>
      <c r="P35" s="194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s="35" customFormat="1" ht="13.5" customHeight="1" x14ac:dyDescent="0.25">
      <c r="A36" s="27"/>
      <c r="B36" s="209"/>
      <c r="C36" s="189"/>
      <c r="D36" s="189"/>
      <c r="E36" s="189"/>
      <c r="F36" s="41" t="s">
        <v>77</v>
      </c>
      <c r="G36" s="42">
        <f t="shared" ref="G36" si="30">+E34*0.4</f>
        <v>4.6000000000000006E-2</v>
      </c>
      <c r="H36" s="43"/>
      <c r="I36" s="44"/>
      <c r="J36" s="45">
        <v>0.151</v>
      </c>
      <c r="K36" s="189"/>
      <c r="L36" s="189"/>
      <c r="M36" s="189"/>
      <c r="N36" s="189"/>
      <c r="O36" s="189"/>
      <c r="P36" s="194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s="35" customFormat="1" ht="13.5" customHeight="1" x14ac:dyDescent="0.25">
      <c r="A37" s="27"/>
      <c r="B37" s="209"/>
      <c r="C37" s="189"/>
      <c r="D37" s="189"/>
      <c r="E37" s="189"/>
      <c r="F37" s="41" t="s">
        <v>78</v>
      </c>
      <c r="G37" s="42" t="str">
        <f t="shared" ref="G37" si="31">IF(E34&lt;0.125,"NA",IF(0.125&lt;=E34,(0.8*E34)))</f>
        <v>NA</v>
      </c>
      <c r="H37" s="43"/>
      <c r="I37" s="44"/>
      <c r="J37" s="45"/>
      <c r="K37" s="189"/>
      <c r="L37" s="189"/>
      <c r="M37" s="189"/>
      <c r="N37" s="189"/>
      <c r="O37" s="189"/>
      <c r="P37" s="194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s="35" customFormat="1" ht="13.5" customHeight="1" thickBot="1" x14ac:dyDescent="0.3">
      <c r="A38" s="27"/>
      <c r="B38" s="210"/>
      <c r="C38" s="190"/>
      <c r="D38" s="190"/>
      <c r="E38" s="190"/>
      <c r="F38" s="46" t="s">
        <v>79</v>
      </c>
      <c r="G38" s="47">
        <f t="shared" ref="G38" si="32">+E34</f>
        <v>0.115</v>
      </c>
      <c r="H38" s="48"/>
      <c r="I38" s="49"/>
      <c r="J38" s="50">
        <v>0.17399999999999999</v>
      </c>
      <c r="K38" s="190"/>
      <c r="L38" s="190"/>
      <c r="M38" s="190"/>
      <c r="N38" s="190"/>
      <c r="O38" s="190"/>
      <c r="P38" s="195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s="35" customFormat="1" ht="13.5" customHeight="1" x14ac:dyDescent="0.25">
      <c r="A39" s="27"/>
      <c r="B39" s="208">
        <f t="shared" ref="B39" si="33">+B34+1</f>
        <v>5</v>
      </c>
      <c r="C39" s="211">
        <f t="shared" ref="C39" si="34">+C34+$N$12</f>
        <v>5.3999999999999995</v>
      </c>
      <c r="D39" s="188">
        <v>0.158</v>
      </c>
      <c r="E39" s="188">
        <v>0.11600000000000001</v>
      </c>
      <c r="F39" s="36" t="s">
        <v>75</v>
      </c>
      <c r="G39" s="37">
        <v>0</v>
      </c>
      <c r="H39" s="38"/>
      <c r="I39" s="39"/>
      <c r="J39" s="40">
        <v>0.151</v>
      </c>
      <c r="K39" s="188">
        <f t="shared" ref="K39" si="35">+IF(E39&lt;=0.12,(J41),(IF(E39&lt;0.16,((J40+2*J41+J42)/4),IF(E39&gt;=0.16,((J39+3*J40+2*J41+3*J42+J43)/10)))))</f>
        <v>0.21</v>
      </c>
      <c r="L39" s="188">
        <f t="shared" ref="L39" si="36">ROUND(+(D34+D39)/2*(C39-C34),3)</f>
        <v>7.6999999999999999E-2</v>
      </c>
      <c r="M39" s="188">
        <f t="shared" ref="M39" si="37">ROUND(+K39*L39,4)</f>
        <v>1.6199999999999999E-2</v>
      </c>
      <c r="N39" s="191">
        <f t="shared" ref="N39" si="38">ROUND(+M39/$M$138*100,2)</f>
        <v>2.5099999999999998</v>
      </c>
      <c r="O39" s="192"/>
      <c r="P39" s="193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s="35" customFormat="1" ht="13.5" customHeight="1" x14ac:dyDescent="0.25">
      <c r="A40" s="27"/>
      <c r="B40" s="209"/>
      <c r="C40" s="189"/>
      <c r="D40" s="189"/>
      <c r="E40" s="189"/>
      <c r="F40" s="41" t="s">
        <v>76</v>
      </c>
      <c r="G40" s="42" t="str">
        <f t="shared" ref="G40" si="39">IF(E39&lt;0.125,"NA",IF(0.125&lt;=E39,(0.2*E39)))</f>
        <v>NA</v>
      </c>
      <c r="H40" s="43"/>
      <c r="I40" s="44"/>
      <c r="J40" s="45"/>
      <c r="K40" s="189"/>
      <c r="L40" s="189"/>
      <c r="M40" s="189"/>
      <c r="N40" s="189"/>
      <c r="O40" s="189"/>
      <c r="P40" s="194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s="35" customFormat="1" ht="13.5" customHeight="1" x14ac:dyDescent="0.25">
      <c r="A41" s="27"/>
      <c r="B41" s="209"/>
      <c r="C41" s="189"/>
      <c r="D41" s="189"/>
      <c r="E41" s="189"/>
      <c r="F41" s="41" t="s">
        <v>77</v>
      </c>
      <c r="G41" s="42">
        <f t="shared" ref="G41" si="40">+E39*0.4</f>
        <v>4.6400000000000004E-2</v>
      </c>
      <c r="H41" s="43"/>
      <c r="I41" s="44"/>
      <c r="J41" s="45">
        <v>0.21</v>
      </c>
      <c r="K41" s="189"/>
      <c r="L41" s="189"/>
      <c r="M41" s="189"/>
      <c r="N41" s="189"/>
      <c r="O41" s="189"/>
      <c r="P41" s="194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s="35" customFormat="1" ht="13.5" customHeight="1" x14ac:dyDescent="0.25">
      <c r="A42" s="27"/>
      <c r="B42" s="209"/>
      <c r="C42" s="189"/>
      <c r="D42" s="189"/>
      <c r="E42" s="189"/>
      <c r="F42" s="41" t="s">
        <v>78</v>
      </c>
      <c r="G42" s="42" t="str">
        <f t="shared" ref="G42" si="41">IF(E39&lt;0.125,"NA",IF(0.125&lt;=E39,(0.8*E39)))</f>
        <v>NA</v>
      </c>
      <c r="H42" s="43"/>
      <c r="I42" s="44"/>
      <c r="J42" s="45"/>
      <c r="K42" s="189"/>
      <c r="L42" s="189"/>
      <c r="M42" s="189"/>
      <c r="N42" s="189"/>
      <c r="O42" s="189"/>
      <c r="P42" s="194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s="35" customFormat="1" ht="13.5" customHeight="1" thickBot="1" x14ac:dyDescent="0.3">
      <c r="A43" s="27"/>
      <c r="B43" s="210"/>
      <c r="C43" s="190"/>
      <c r="D43" s="190"/>
      <c r="E43" s="190"/>
      <c r="F43" s="46" t="s">
        <v>79</v>
      </c>
      <c r="G43" s="47">
        <f t="shared" ref="G43" si="42">+E39</f>
        <v>0.11600000000000001</v>
      </c>
      <c r="H43" s="48"/>
      <c r="I43" s="49"/>
      <c r="J43" s="50">
        <v>0.33700000000000002</v>
      </c>
      <c r="K43" s="190"/>
      <c r="L43" s="190"/>
      <c r="M43" s="190"/>
      <c r="N43" s="190"/>
      <c r="O43" s="190"/>
      <c r="P43" s="195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s="35" customFormat="1" ht="13.5" customHeight="1" x14ac:dyDescent="0.25">
      <c r="A44" s="27"/>
      <c r="B44" s="208">
        <f t="shared" ref="B44" si="43">+B39+1</f>
        <v>6</v>
      </c>
      <c r="C44" s="211">
        <f t="shared" ref="C44" si="44">+C39+$N$12</f>
        <v>5.9999999999999991</v>
      </c>
      <c r="D44" s="188">
        <v>0.32200000000000001</v>
      </c>
      <c r="E44" s="188">
        <v>0.26</v>
      </c>
      <c r="F44" s="36" t="s">
        <v>75</v>
      </c>
      <c r="G44" s="37">
        <v>0</v>
      </c>
      <c r="H44" s="38"/>
      <c r="I44" s="39"/>
      <c r="J44" s="40">
        <v>8.7999999999999995E-2</v>
      </c>
      <c r="K44" s="188">
        <f t="shared" ref="K44" si="45">+IF(E44&lt;=0.12,(J46),(IF(E44&lt;0.16,((J45+2*J46+J47)/4),IF(E44&gt;=0.16,((J44+3*J45+2*J46+3*J47+J48)/10)))))</f>
        <v>0.24929999999999999</v>
      </c>
      <c r="L44" s="188">
        <f t="shared" ref="L44" si="46">ROUND(+(D39+D44)/2*(C44-C39),3)</f>
        <v>0.14399999999999999</v>
      </c>
      <c r="M44" s="188">
        <f t="shared" ref="M44" si="47">ROUND(+K44*L44,4)</f>
        <v>3.5900000000000001E-2</v>
      </c>
      <c r="N44" s="191">
        <f t="shared" ref="N44" si="48">ROUND(+M44/$M$138*100,2)</f>
        <v>5.55</v>
      </c>
      <c r="O44" s="192"/>
      <c r="P44" s="193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s="35" customFormat="1" ht="13.5" customHeight="1" x14ac:dyDescent="0.25">
      <c r="A45" s="27"/>
      <c r="B45" s="209"/>
      <c r="C45" s="189"/>
      <c r="D45" s="189"/>
      <c r="E45" s="189"/>
      <c r="F45" s="41" t="s">
        <v>76</v>
      </c>
      <c r="G45" s="42">
        <f t="shared" ref="G45" si="49">IF(E44&lt;0.125,"NA",IF(0.125&lt;=E44,(0.2*E44)))</f>
        <v>5.2000000000000005E-2</v>
      </c>
      <c r="H45" s="43"/>
      <c r="I45" s="44"/>
      <c r="J45" s="45">
        <v>0.17399999999999999</v>
      </c>
      <c r="K45" s="189"/>
      <c r="L45" s="189"/>
      <c r="M45" s="189"/>
      <c r="N45" s="189"/>
      <c r="O45" s="189"/>
      <c r="P45" s="194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s="35" customFormat="1" ht="13.5" customHeight="1" x14ac:dyDescent="0.25">
      <c r="A46" s="27"/>
      <c r="B46" s="209"/>
      <c r="C46" s="189"/>
      <c r="D46" s="189"/>
      <c r="E46" s="189"/>
      <c r="F46" s="41" t="s">
        <v>77</v>
      </c>
      <c r="G46" s="42">
        <f t="shared" ref="G46" si="50">+E44*0.4</f>
        <v>0.10400000000000001</v>
      </c>
      <c r="H46" s="43"/>
      <c r="I46" s="44"/>
      <c r="J46" s="45">
        <v>0.31</v>
      </c>
      <c r="K46" s="189"/>
      <c r="L46" s="189"/>
      <c r="M46" s="189"/>
      <c r="N46" s="189"/>
      <c r="O46" s="189"/>
      <c r="P46" s="194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s="35" customFormat="1" ht="13.5" customHeight="1" x14ac:dyDescent="0.25">
      <c r="A47" s="27"/>
      <c r="B47" s="209"/>
      <c r="C47" s="189"/>
      <c r="D47" s="189"/>
      <c r="E47" s="189"/>
      <c r="F47" s="41" t="s">
        <v>78</v>
      </c>
      <c r="G47" s="42">
        <f t="shared" ref="G47" si="51">IF(E44&lt;0.125,"NA",IF(0.125&lt;=E44,(0.8*E44)))</f>
        <v>0.20800000000000002</v>
      </c>
      <c r="H47" s="43"/>
      <c r="I47" s="44"/>
      <c r="J47" s="45">
        <v>0.35599999999999998</v>
      </c>
      <c r="K47" s="189"/>
      <c r="L47" s="189"/>
      <c r="M47" s="189"/>
      <c r="N47" s="189"/>
      <c r="O47" s="189"/>
      <c r="P47" s="194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s="35" customFormat="1" ht="13.5" customHeight="1" thickBot="1" x14ac:dyDescent="0.3">
      <c r="A48" s="27"/>
      <c r="B48" s="210"/>
      <c r="C48" s="190"/>
      <c r="D48" s="190"/>
      <c r="E48" s="190"/>
      <c r="F48" s="46" t="s">
        <v>79</v>
      </c>
      <c r="G48" s="47">
        <f t="shared" ref="G48" si="52">+E44</f>
        <v>0.26</v>
      </c>
      <c r="H48" s="48"/>
      <c r="I48" s="49"/>
      <c r="J48" s="50">
        <v>0.19500000000000001</v>
      </c>
      <c r="K48" s="190"/>
      <c r="L48" s="190"/>
      <c r="M48" s="190"/>
      <c r="N48" s="190"/>
      <c r="O48" s="190"/>
      <c r="P48" s="195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s="35" customFormat="1" ht="13.5" customHeight="1" x14ac:dyDescent="0.25">
      <c r="A49" s="27"/>
      <c r="B49" s="208">
        <f t="shared" ref="B49" si="53">+B44+1</f>
        <v>7</v>
      </c>
      <c r="C49" s="211">
        <f t="shared" ref="C49" si="54">+C44+$N$12</f>
        <v>6.5999999999999988</v>
      </c>
      <c r="D49" s="188">
        <v>0.20699999999999999</v>
      </c>
      <c r="E49" s="188">
        <v>0.28999999999999998</v>
      </c>
      <c r="F49" s="36" t="s">
        <v>75</v>
      </c>
      <c r="G49" s="37">
        <v>0</v>
      </c>
      <c r="H49" s="38"/>
      <c r="I49" s="39"/>
      <c r="J49" s="40">
        <v>0.159</v>
      </c>
      <c r="K49" s="188">
        <f t="shared" ref="K49" si="55">+IF(E49&lt;=0.12,(J51),(IF(E49&lt;0.16,((J50+2*J51+J52)/4),IF(E49&gt;=0.16,((J49+3*J50+2*J51+3*J52+J53)/10)))))</f>
        <v>0.34670000000000001</v>
      </c>
      <c r="L49" s="188">
        <f t="shared" ref="L49" si="56">ROUND(+(D44+D49)/2*(C49-C44),3)</f>
        <v>0.159</v>
      </c>
      <c r="M49" s="188">
        <f t="shared" ref="M49" si="57">ROUND(+K49*L49,4)</f>
        <v>5.5100000000000003E-2</v>
      </c>
      <c r="N49" s="191">
        <f t="shared" ref="N49" si="58">ROUND(+M49/$M$138*100,2)</f>
        <v>8.52</v>
      </c>
      <c r="O49" s="192"/>
      <c r="P49" s="193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s="35" customFormat="1" ht="13.5" customHeight="1" x14ac:dyDescent="0.25">
      <c r="A50" s="27"/>
      <c r="B50" s="209"/>
      <c r="C50" s="189"/>
      <c r="D50" s="189"/>
      <c r="E50" s="189"/>
      <c r="F50" s="41" t="s">
        <v>76</v>
      </c>
      <c r="G50" s="42">
        <f t="shared" ref="G50" si="59">IF(E49&lt;0.125,"NA",IF(0.125&lt;=E49,(0.2*E49)))</f>
        <v>5.7999999999999996E-2</v>
      </c>
      <c r="H50" s="43"/>
      <c r="I50" s="44"/>
      <c r="J50" s="45">
        <v>0.30299999999999999</v>
      </c>
      <c r="K50" s="189"/>
      <c r="L50" s="189"/>
      <c r="M50" s="189"/>
      <c r="N50" s="189"/>
      <c r="O50" s="189"/>
      <c r="P50" s="194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s="35" customFormat="1" ht="13.5" customHeight="1" x14ac:dyDescent="0.25">
      <c r="A51" s="27"/>
      <c r="B51" s="209"/>
      <c r="C51" s="189"/>
      <c r="D51" s="189"/>
      <c r="E51" s="189"/>
      <c r="F51" s="41" t="s">
        <v>77</v>
      </c>
      <c r="G51" s="42">
        <f t="shared" ref="G51" si="60">+E49*0.4</f>
        <v>0.11599999999999999</v>
      </c>
      <c r="H51" s="43"/>
      <c r="I51" s="44"/>
      <c r="J51" s="45">
        <v>0.35699999999999998</v>
      </c>
      <c r="K51" s="189"/>
      <c r="L51" s="189"/>
      <c r="M51" s="189"/>
      <c r="N51" s="189"/>
      <c r="O51" s="189"/>
      <c r="P51" s="194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s="35" customFormat="1" ht="13.5" customHeight="1" x14ac:dyDescent="0.25">
      <c r="A52" s="27"/>
      <c r="B52" s="209"/>
      <c r="C52" s="189"/>
      <c r="D52" s="189"/>
      <c r="E52" s="189"/>
      <c r="F52" s="41" t="s">
        <v>78</v>
      </c>
      <c r="G52" s="42">
        <f t="shared" ref="G52" si="61">IF(E49&lt;0.125,"NA",IF(0.125&lt;=E49,(0.8*E49)))</f>
        <v>0.23199999999999998</v>
      </c>
      <c r="H52" s="43"/>
      <c r="I52" s="44"/>
      <c r="J52" s="45">
        <v>0.46300000000000002</v>
      </c>
      <c r="K52" s="189"/>
      <c r="L52" s="189"/>
      <c r="M52" s="189"/>
      <c r="N52" s="189"/>
      <c r="O52" s="189"/>
      <c r="P52" s="194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s="35" customFormat="1" ht="13.5" customHeight="1" thickBot="1" x14ac:dyDescent="0.3">
      <c r="A53" s="27"/>
      <c r="B53" s="210"/>
      <c r="C53" s="190"/>
      <c r="D53" s="190"/>
      <c r="E53" s="190"/>
      <c r="F53" s="46" t="s">
        <v>79</v>
      </c>
      <c r="G53" s="47">
        <f t="shared" ref="G53" si="62">+E49</f>
        <v>0.28999999999999998</v>
      </c>
      <c r="H53" s="48"/>
      <c r="I53" s="49"/>
      <c r="J53" s="50">
        <v>0.29599999999999999</v>
      </c>
      <c r="K53" s="190"/>
      <c r="L53" s="190"/>
      <c r="M53" s="190"/>
      <c r="N53" s="190"/>
      <c r="O53" s="190"/>
      <c r="P53" s="195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s="35" customFormat="1" ht="13.5" customHeight="1" x14ac:dyDescent="0.25">
      <c r="A54" s="27" t="s">
        <v>119</v>
      </c>
      <c r="B54" s="208">
        <f t="shared" ref="B54" si="63">+B49+1</f>
        <v>8</v>
      </c>
      <c r="C54" s="211">
        <f t="shared" ref="C54" si="64">+C49+$N$12</f>
        <v>7.1999999999999984</v>
      </c>
      <c r="D54" s="188">
        <v>0.108</v>
      </c>
      <c r="E54" s="188">
        <v>8.3000000000000004E-2</v>
      </c>
      <c r="F54" s="36" t="s">
        <v>75</v>
      </c>
      <c r="G54" s="37">
        <v>0</v>
      </c>
      <c r="H54" s="38"/>
      <c r="I54" s="39"/>
      <c r="J54" s="40">
        <v>0.23699999999999999</v>
      </c>
      <c r="K54" s="188">
        <f t="shared" ref="K54" si="65">+IF(E54&lt;=0.12,(J56),(IF(E54&lt;0.16,((J55+2*J56+J57)/4),IF(E54&gt;=0.16,((J54+3*J55+2*J56+3*J57+J58)/10)))))</f>
        <v>0.151</v>
      </c>
      <c r="L54" s="188">
        <f t="shared" ref="L54" si="66">ROUND(+(D49+D54)/2*(C54-C49),3)</f>
        <v>9.4E-2</v>
      </c>
      <c r="M54" s="188">
        <f t="shared" ref="M54" si="67">ROUND(+K54*L54,4)</f>
        <v>1.4200000000000001E-2</v>
      </c>
      <c r="N54" s="191">
        <f t="shared" ref="N54" si="68">ROUND(+M54/$M$138*100,2)</f>
        <v>2.2000000000000002</v>
      </c>
      <c r="O54" s="192"/>
      <c r="P54" s="193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s="35" customFormat="1" ht="13.5" customHeight="1" x14ac:dyDescent="0.25">
      <c r="A55" s="27"/>
      <c r="B55" s="209"/>
      <c r="C55" s="189"/>
      <c r="D55" s="189"/>
      <c r="E55" s="189"/>
      <c r="F55" s="41" t="s">
        <v>76</v>
      </c>
      <c r="G55" s="42" t="str">
        <f t="shared" ref="G55" si="69">IF(E54&lt;0.125,"NA",IF(0.125&lt;=E54,(0.2*E54)))</f>
        <v>NA</v>
      </c>
      <c r="H55" s="43"/>
      <c r="I55" s="44"/>
      <c r="J55" s="45"/>
      <c r="K55" s="189"/>
      <c r="L55" s="189"/>
      <c r="M55" s="189"/>
      <c r="N55" s="189"/>
      <c r="O55" s="189"/>
      <c r="P55" s="194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s="35" customFormat="1" ht="13.5" customHeight="1" x14ac:dyDescent="0.25">
      <c r="A56" s="27"/>
      <c r="B56" s="209"/>
      <c r="C56" s="189"/>
      <c r="D56" s="189"/>
      <c r="E56" s="189"/>
      <c r="F56" s="41" t="s">
        <v>77</v>
      </c>
      <c r="G56" s="42">
        <f t="shared" ref="G56" si="70">+E54*0.4</f>
        <v>3.32E-2</v>
      </c>
      <c r="H56" s="43"/>
      <c r="I56" s="44"/>
      <c r="J56" s="45">
        <v>0.151</v>
      </c>
      <c r="K56" s="189"/>
      <c r="L56" s="189"/>
      <c r="M56" s="189"/>
      <c r="N56" s="189"/>
      <c r="O56" s="189"/>
      <c r="P56" s="194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s="35" customFormat="1" ht="13.5" customHeight="1" x14ac:dyDescent="0.25">
      <c r="A57" s="27"/>
      <c r="B57" s="209"/>
      <c r="C57" s="189"/>
      <c r="D57" s="189"/>
      <c r="E57" s="189"/>
      <c r="F57" s="41" t="s">
        <v>78</v>
      </c>
      <c r="G57" s="42" t="str">
        <f t="shared" ref="G57" si="71">IF(E54&lt;0.125,"NA",IF(0.125&lt;=E54,(0.8*E54)))</f>
        <v>NA</v>
      </c>
      <c r="H57" s="43"/>
      <c r="I57" s="44"/>
      <c r="J57" s="45"/>
      <c r="K57" s="189"/>
      <c r="L57" s="189"/>
      <c r="M57" s="189"/>
      <c r="N57" s="189"/>
      <c r="O57" s="189"/>
      <c r="P57" s="194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s="35" customFormat="1" ht="13.5" customHeight="1" thickBot="1" x14ac:dyDescent="0.3">
      <c r="A58" s="27"/>
      <c r="B58" s="210"/>
      <c r="C58" s="190"/>
      <c r="D58" s="190"/>
      <c r="E58" s="190"/>
      <c r="F58" s="46" t="s">
        <v>79</v>
      </c>
      <c r="G58" s="47">
        <f t="shared" ref="G58" si="72">+E54</f>
        <v>8.3000000000000004E-2</v>
      </c>
      <c r="H58" s="48"/>
      <c r="I58" s="49"/>
      <c r="J58" s="50">
        <v>0.127</v>
      </c>
      <c r="K58" s="190"/>
      <c r="L58" s="190"/>
      <c r="M58" s="190"/>
      <c r="N58" s="190"/>
      <c r="O58" s="190"/>
      <c r="P58" s="195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s="35" customFormat="1" ht="13.5" customHeight="1" x14ac:dyDescent="0.25">
      <c r="A59" s="27"/>
      <c r="B59" s="208">
        <f t="shared" ref="B59" si="73">+B54+1</f>
        <v>9</v>
      </c>
      <c r="C59" s="211">
        <f t="shared" ref="C59" si="74">+C54+$N$12</f>
        <v>7.799999999999998</v>
      </c>
      <c r="D59" s="188">
        <v>0.14699999999999999</v>
      </c>
      <c r="E59" s="188">
        <v>0.125</v>
      </c>
      <c r="F59" s="36" t="s">
        <v>75</v>
      </c>
      <c r="G59" s="37">
        <v>0</v>
      </c>
      <c r="H59" s="38"/>
      <c r="I59" s="39"/>
      <c r="J59" s="40">
        <v>3.0000000000000001E-3</v>
      </c>
      <c r="K59" s="188">
        <f t="shared" ref="K59" si="75">+IF(E59&lt;=0.12,(J61),(IF(E59&lt;0.16,((J60+2*J61+J62)/4),IF(E59&gt;=0.16,((J59+3*J60+2*J61+3*J62+J63)/10)))))</f>
        <v>0.27474999999999999</v>
      </c>
      <c r="L59" s="188">
        <f t="shared" ref="L59" si="76">ROUND(+(D54+D59)/2*(C59-C54),3)</f>
        <v>7.6999999999999999E-2</v>
      </c>
      <c r="M59" s="188">
        <f t="shared" ref="M59" si="77">ROUND(+K59*L59,4)</f>
        <v>2.12E-2</v>
      </c>
      <c r="N59" s="191">
        <f t="shared" ref="N59" si="78">ROUND(+M59/$M$138*100,2)</f>
        <v>3.28</v>
      </c>
      <c r="O59" s="192"/>
      <c r="P59" s="193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s="35" customFormat="1" ht="13.5" customHeight="1" x14ac:dyDescent="0.25">
      <c r="A60" s="27"/>
      <c r="B60" s="209"/>
      <c r="C60" s="189"/>
      <c r="D60" s="189"/>
      <c r="E60" s="189"/>
      <c r="F60" s="41" t="s">
        <v>76</v>
      </c>
      <c r="G60" s="42">
        <f t="shared" ref="G60" si="79">IF(E59&lt;0.125,"NA",IF(0.125&lt;=E59,(0.2*E59)))</f>
        <v>2.5000000000000001E-2</v>
      </c>
      <c r="H60" s="43"/>
      <c r="I60" s="44"/>
      <c r="J60" s="45">
        <v>8.6999999999999994E-2</v>
      </c>
      <c r="K60" s="189"/>
      <c r="L60" s="189"/>
      <c r="M60" s="189"/>
      <c r="N60" s="189"/>
      <c r="O60" s="189"/>
      <c r="P60" s="194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s="35" customFormat="1" ht="13.5" customHeight="1" x14ac:dyDescent="0.25">
      <c r="A61" s="27"/>
      <c r="B61" s="209"/>
      <c r="C61" s="189"/>
      <c r="D61" s="189"/>
      <c r="E61" s="189"/>
      <c r="F61" s="41" t="s">
        <v>77</v>
      </c>
      <c r="G61" s="42">
        <f t="shared" ref="G61" si="80">+E59*0.4</f>
        <v>0.05</v>
      </c>
      <c r="H61" s="43"/>
      <c r="I61" s="44"/>
      <c r="J61" s="45">
        <v>0.39500000000000002</v>
      </c>
      <c r="K61" s="189"/>
      <c r="L61" s="189"/>
      <c r="M61" s="189"/>
      <c r="N61" s="189"/>
      <c r="O61" s="189"/>
      <c r="P61" s="194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s="35" customFormat="1" ht="13.5" customHeight="1" x14ac:dyDescent="0.25">
      <c r="A62" s="27"/>
      <c r="B62" s="209"/>
      <c r="C62" s="189"/>
      <c r="D62" s="189"/>
      <c r="E62" s="189"/>
      <c r="F62" s="41" t="s">
        <v>78</v>
      </c>
      <c r="G62" s="42">
        <f t="shared" ref="G62" si="81">IF(E59&lt;0.125,"NA",IF(0.125&lt;=E59,(0.8*E59)))</f>
        <v>0.1</v>
      </c>
      <c r="H62" s="43"/>
      <c r="I62" s="44"/>
      <c r="J62" s="45">
        <v>0.222</v>
      </c>
      <c r="K62" s="189"/>
      <c r="L62" s="189"/>
      <c r="M62" s="189"/>
      <c r="N62" s="189"/>
      <c r="O62" s="189"/>
      <c r="P62" s="194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s="35" customFormat="1" ht="13.5" customHeight="1" thickBot="1" x14ac:dyDescent="0.3">
      <c r="A63" s="27"/>
      <c r="B63" s="210"/>
      <c r="C63" s="190"/>
      <c r="D63" s="190"/>
      <c r="E63" s="190"/>
      <c r="F63" s="46" t="s">
        <v>79</v>
      </c>
      <c r="G63" s="47">
        <f t="shared" ref="G63" si="82">+E59</f>
        <v>0.125</v>
      </c>
      <c r="H63" s="48"/>
      <c r="I63" s="49"/>
      <c r="J63" s="50">
        <v>0.29099999999999998</v>
      </c>
      <c r="K63" s="190"/>
      <c r="L63" s="190"/>
      <c r="M63" s="190"/>
      <c r="N63" s="190"/>
      <c r="O63" s="190"/>
      <c r="P63" s="195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s="35" customFormat="1" ht="13.5" customHeight="1" x14ac:dyDescent="0.25">
      <c r="A64" s="27"/>
      <c r="B64" s="208">
        <f t="shared" ref="B64" si="83">+B59+1</f>
        <v>10</v>
      </c>
      <c r="C64" s="211">
        <f t="shared" ref="C64" si="84">+C59+$N$12</f>
        <v>8.3999999999999986</v>
      </c>
      <c r="D64" s="188">
        <v>0.219</v>
      </c>
      <c r="E64" s="188">
        <v>0.17</v>
      </c>
      <c r="F64" s="36" t="s">
        <v>75</v>
      </c>
      <c r="G64" s="37">
        <v>0</v>
      </c>
      <c r="H64" s="38"/>
      <c r="I64" s="39"/>
      <c r="J64" s="40">
        <v>0.16900000000000001</v>
      </c>
      <c r="K64" s="188">
        <f t="shared" ref="K64" si="85">+IF(E64&lt;=0.12,(J66),(IF(E64&lt;0.16,((J65+2*J66+J67)/4),IF(E64&gt;=0.16,((J64+3*J65+2*J66+3*J67+J68)/10)))))</f>
        <v>0.29819999999999997</v>
      </c>
      <c r="L64" s="188">
        <f t="shared" ref="L64" si="86">ROUND(+(D59+D64)/2*(C64-C59),3)</f>
        <v>0.11</v>
      </c>
      <c r="M64" s="188">
        <f t="shared" ref="M64" si="87">ROUND(+K64*L64,4)</f>
        <v>3.2800000000000003E-2</v>
      </c>
      <c r="N64" s="191">
        <f t="shared" ref="N64" si="88">ROUND(+M64/$M$138*100,2)</f>
        <v>5.07</v>
      </c>
      <c r="O64" s="192"/>
      <c r="P64" s="193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s="35" customFormat="1" ht="13.5" customHeight="1" x14ac:dyDescent="0.25">
      <c r="A65" s="27"/>
      <c r="B65" s="209"/>
      <c r="C65" s="189"/>
      <c r="D65" s="189"/>
      <c r="E65" s="189"/>
      <c r="F65" s="41" t="s">
        <v>76</v>
      </c>
      <c r="G65" s="42">
        <f t="shared" ref="G65" si="89">IF(E64&lt;0.125,"NA",IF(0.125&lt;=E64,(0.2*E64)))</f>
        <v>3.4000000000000002E-2</v>
      </c>
      <c r="H65" s="43"/>
      <c r="I65" s="44"/>
      <c r="J65" s="45">
        <v>0.29599999999999999</v>
      </c>
      <c r="K65" s="189"/>
      <c r="L65" s="189"/>
      <c r="M65" s="189"/>
      <c r="N65" s="189"/>
      <c r="O65" s="189"/>
      <c r="P65" s="194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s="35" customFormat="1" ht="13.5" customHeight="1" x14ac:dyDescent="0.25">
      <c r="A66" s="27"/>
      <c r="B66" s="209"/>
      <c r="C66" s="189"/>
      <c r="D66" s="189"/>
      <c r="E66" s="189"/>
      <c r="F66" s="41" t="s">
        <v>77</v>
      </c>
      <c r="G66" s="42">
        <f t="shared" ref="G66" si="90">+E64*0.4</f>
        <v>6.8000000000000005E-2</v>
      </c>
      <c r="H66" s="43"/>
      <c r="I66" s="44"/>
      <c r="J66" s="45">
        <v>0.31900000000000001</v>
      </c>
      <c r="K66" s="189"/>
      <c r="L66" s="189"/>
      <c r="M66" s="189"/>
      <c r="N66" s="189"/>
      <c r="O66" s="189"/>
      <c r="P66" s="194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s="35" customFormat="1" ht="13.5" customHeight="1" x14ac:dyDescent="0.25">
      <c r="A67" s="27"/>
      <c r="B67" s="209"/>
      <c r="C67" s="189"/>
      <c r="D67" s="189"/>
      <c r="E67" s="189"/>
      <c r="F67" s="41" t="s">
        <v>78</v>
      </c>
      <c r="G67" s="42">
        <f t="shared" ref="G67" si="91">IF(E64&lt;0.125,"NA",IF(0.125&lt;=E64,(0.8*E64)))</f>
        <v>0.13600000000000001</v>
      </c>
      <c r="H67" s="43"/>
      <c r="I67" s="44"/>
      <c r="J67" s="45">
        <v>0.35899999999999999</v>
      </c>
      <c r="K67" s="189"/>
      <c r="L67" s="189"/>
      <c r="M67" s="189"/>
      <c r="N67" s="189"/>
      <c r="O67" s="189"/>
      <c r="P67" s="194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s="35" customFormat="1" ht="13.5" customHeight="1" thickBot="1" x14ac:dyDescent="0.3">
      <c r="A68" s="27"/>
      <c r="B68" s="210"/>
      <c r="C68" s="190"/>
      <c r="D68" s="190"/>
      <c r="E68" s="190"/>
      <c r="F68" s="46" t="s">
        <v>79</v>
      </c>
      <c r="G68" s="47">
        <f t="shared" ref="G68" si="92">+E64</f>
        <v>0.17</v>
      </c>
      <c r="H68" s="48"/>
      <c r="I68" s="49"/>
      <c r="J68" s="50">
        <v>0.21</v>
      </c>
      <c r="K68" s="190"/>
      <c r="L68" s="190"/>
      <c r="M68" s="190"/>
      <c r="N68" s="190"/>
      <c r="O68" s="190"/>
      <c r="P68" s="195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s="35" customFormat="1" ht="13.5" customHeight="1" x14ac:dyDescent="0.25">
      <c r="A69" s="27"/>
      <c r="B69" s="208">
        <f t="shared" ref="B69" si="93">+B64+1</f>
        <v>11</v>
      </c>
      <c r="C69" s="211">
        <f t="shared" ref="C69" si="94">+C64+$N$12</f>
        <v>8.9999999999999982</v>
      </c>
      <c r="D69" s="188">
        <v>0.35</v>
      </c>
      <c r="E69" s="188">
        <v>0.255</v>
      </c>
      <c r="F69" s="36" t="s">
        <v>75</v>
      </c>
      <c r="G69" s="37">
        <v>0</v>
      </c>
      <c r="H69" s="38"/>
      <c r="I69" s="39"/>
      <c r="J69" s="40">
        <v>0.379</v>
      </c>
      <c r="K69" s="188">
        <f t="shared" ref="K69" si="95">+IF(E69&lt;=0.12,(J71),(IF(E69&lt;0.16,((J70+2*J71+J72)/4),IF(E69&gt;=0.16,((J69+3*J70+2*J71+3*J72+J73)/10)))))</f>
        <v>0.52449999999999997</v>
      </c>
      <c r="L69" s="188">
        <f t="shared" ref="L69" si="96">ROUND(+(D64+D69)/2*(C69-C64),3)</f>
        <v>0.17100000000000001</v>
      </c>
      <c r="M69" s="188">
        <f t="shared" ref="M69" si="97">ROUND(+K69*L69,4)</f>
        <v>8.9700000000000002E-2</v>
      </c>
      <c r="N69" s="191">
        <f t="shared" ref="N69" si="98">ROUND(+M69/$M$138*100,2)</f>
        <v>13.87</v>
      </c>
      <c r="O69" s="192"/>
      <c r="P69" s="193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s="35" customFormat="1" ht="13.5" customHeight="1" x14ac:dyDescent="0.25">
      <c r="A70" s="27"/>
      <c r="B70" s="209"/>
      <c r="C70" s="189"/>
      <c r="D70" s="189"/>
      <c r="E70" s="189"/>
      <c r="F70" s="41" t="s">
        <v>76</v>
      </c>
      <c r="G70" s="42">
        <f t="shared" ref="G70" si="99">IF(E69&lt;0.125,"NA",IF(0.125&lt;=E69,(0.2*E69)))</f>
        <v>5.1000000000000004E-2</v>
      </c>
      <c r="H70" s="43"/>
      <c r="I70" s="44"/>
      <c r="J70" s="45">
        <v>0.52600000000000002</v>
      </c>
      <c r="K70" s="189"/>
      <c r="L70" s="189"/>
      <c r="M70" s="189"/>
      <c r="N70" s="189"/>
      <c r="O70" s="189"/>
      <c r="P70" s="194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s="35" customFormat="1" ht="13.5" customHeight="1" x14ac:dyDescent="0.25">
      <c r="A71" s="27"/>
      <c r="B71" s="209"/>
      <c r="C71" s="189"/>
      <c r="D71" s="189"/>
      <c r="E71" s="189"/>
      <c r="F71" s="41" t="s">
        <v>77</v>
      </c>
      <c r="G71" s="42">
        <f t="shared" ref="G71" si="100">+E69*0.4</f>
        <v>0.10200000000000001</v>
      </c>
      <c r="H71" s="43"/>
      <c r="I71" s="44"/>
      <c r="J71" s="45">
        <v>0.56399999999999995</v>
      </c>
      <c r="K71" s="189"/>
      <c r="L71" s="189"/>
      <c r="M71" s="189"/>
      <c r="N71" s="189"/>
      <c r="O71" s="189"/>
      <c r="P71" s="194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s="35" customFormat="1" ht="13.5" customHeight="1" x14ac:dyDescent="0.25">
      <c r="A72" s="27"/>
      <c r="B72" s="209"/>
      <c r="C72" s="189"/>
      <c r="D72" s="189"/>
      <c r="E72" s="189"/>
      <c r="F72" s="41" t="s">
        <v>78</v>
      </c>
      <c r="G72" s="42">
        <f t="shared" ref="G72" si="101">IF(E69&lt;0.125,"NA",IF(0.125&lt;=E69,(0.8*E69)))</f>
        <v>0.20400000000000001</v>
      </c>
      <c r="H72" s="43"/>
      <c r="I72" s="44"/>
      <c r="J72" s="45">
        <v>0.55600000000000005</v>
      </c>
      <c r="K72" s="189"/>
      <c r="L72" s="189"/>
      <c r="M72" s="189"/>
      <c r="N72" s="189"/>
      <c r="O72" s="189"/>
      <c r="P72" s="194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s="35" customFormat="1" ht="13.5" customHeight="1" thickBot="1" x14ac:dyDescent="0.3">
      <c r="A73" s="27"/>
      <c r="B73" s="210"/>
      <c r="C73" s="190"/>
      <c r="D73" s="190"/>
      <c r="E73" s="190"/>
      <c r="F73" s="46" t="s">
        <v>79</v>
      </c>
      <c r="G73" s="47">
        <f t="shared" ref="G73" si="102">+E69</f>
        <v>0.255</v>
      </c>
      <c r="H73" s="48"/>
      <c r="I73" s="49"/>
      <c r="J73" s="50">
        <v>0.49199999999999999</v>
      </c>
      <c r="K73" s="190"/>
      <c r="L73" s="190"/>
      <c r="M73" s="190"/>
      <c r="N73" s="190"/>
      <c r="O73" s="190"/>
      <c r="P73" s="195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s="35" customFormat="1" ht="13.5" customHeight="1" x14ac:dyDescent="0.25">
      <c r="A74" s="27"/>
      <c r="B74" s="208">
        <f t="shared" ref="B74" si="103">+B69+1</f>
        <v>12</v>
      </c>
      <c r="C74" s="211">
        <f t="shared" ref="C74" si="104">+C69+$N$12</f>
        <v>9.5999999999999979</v>
      </c>
      <c r="D74" s="188">
        <v>0.33</v>
      </c>
      <c r="E74" s="188">
        <v>0.34599999999999997</v>
      </c>
      <c r="F74" s="36" t="s">
        <v>75</v>
      </c>
      <c r="G74" s="37">
        <v>0</v>
      </c>
      <c r="H74" s="38"/>
      <c r="I74" s="39"/>
      <c r="J74" s="40">
        <v>0.438</v>
      </c>
      <c r="K74" s="188">
        <f t="shared" ref="K74" si="105">+IF(E74&lt;=0.12,(J76),(IF(E74&lt;0.16,((J75+2*J76+J77)/4),IF(E74&gt;=0.16,((J74+3*J75+2*J76+3*J77+J78)/10)))))</f>
        <v>0.60189999999999999</v>
      </c>
      <c r="L74" s="188">
        <f t="shared" ref="L74" si="106">ROUND(+(D69+D74)/2*(C74-C69),3)</f>
        <v>0.20399999999999999</v>
      </c>
      <c r="M74" s="188">
        <f t="shared" ref="M74" si="107">ROUND(+K74*L74,4)</f>
        <v>0.12280000000000001</v>
      </c>
      <c r="N74" s="191">
        <f t="shared" ref="N74" si="108">ROUND(+M74/$M$138*100,2)</f>
        <v>18.989999999999998</v>
      </c>
      <c r="O74" s="192"/>
      <c r="P74" s="193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s="35" customFormat="1" ht="13.5" customHeight="1" x14ac:dyDescent="0.25">
      <c r="A75" s="27"/>
      <c r="B75" s="209"/>
      <c r="C75" s="189"/>
      <c r="D75" s="189"/>
      <c r="E75" s="189"/>
      <c r="F75" s="41" t="s">
        <v>76</v>
      </c>
      <c r="G75" s="42">
        <f t="shared" ref="G75" si="109">IF(E74&lt;0.125,"NA",IF(0.125&lt;=E74,(0.2*E74)))</f>
        <v>6.9199999999999998E-2</v>
      </c>
      <c r="H75" s="43"/>
      <c r="I75" s="44"/>
      <c r="J75" s="45">
        <v>0.55000000000000004</v>
      </c>
      <c r="K75" s="189"/>
      <c r="L75" s="189"/>
      <c r="M75" s="189"/>
      <c r="N75" s="189"/>
      <c r="O75" s="189"/>
      <c r="P75" s="194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s="35" customFormat="1" ht="13.5" customHeight="1" x14ac:dyDescent="0.25">
      <c r="A76" s="27"/>
      <c r="B76" s="209"/>
      <c r="C76" s="189"/>
      <c r="D76" s="189"/>
      <c r="E76" s="189"/>
      <c r="F76" s="41" t="s">
        <v>77</v>
      </c>
      <c r="G76" s="42">
        <f t="shared" ref="G76" si="110">+E74*0.4</f>
        <v>0.1384</v>
      </c>
      <c r="H76" s="43"/>
      <c r="I76" s="44"/>
      <c r="J76" s="45">
        <v>0.629</v>
      </c>
      <c r="K76" s="189"/>
      <c r="L76" s="189"/>
      <c r="M76" s="189"/>
      <c r="N76" s="189"/>
      <c r="O76" s="189"/>
      <c r="P76" s="194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s="35" customFormat="1" ht="13.5" customHeight="1" x14ac:dyDescent="0.25">
      <c r="A77" s="27"/>
      <c r="B77" s="209"/>
      <c r="C77" s="189"/>
      <c r="D77" s="189"/>
      <c r="E77" s="189"/>
      <c r="F77" s="41" t="s">
        <v>78</v>
      </c>
      <c r="G77" s="42">
        <f t="shared" ref="G77" si="111">IF(E74&lt;0.125,"NA",IF(0.125&lt;=E74,(0.8*E74)))</f>
        <v>0.27679999999999999</v>
      </c>
      <c r="H77" s="43"/>
      <c r="I77" s="44"/>
      <c r="J77" s="45">
        <v>0.67400000000000004</v>
      </c>
      <c r="K77" s="189"/>
      <c r="L77" s="189"/>
      <c r="M77" s="189"/>
      <c r="N77" s="189"/>
      <c r="O77" s="189"/>
      <c r="P77" s="194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s="35" customFormat="1" ht="13.5" customHeight="1" thickBot="1" x14ac:dyDescent="0.3">
      <c r="A78" s="27"/>
      <c r="B78" s="210"/>
      <c r="C78" s="190"/>
      <c r="D78" s="190"/>
      <c r="E78" s="190"/>
      <c r="F78" s="46" t="s">
        <v>79</v>
      </c>
      <c r="G78" s="47">
        <f t="shared" ref="G78" si="112">+E74</f>
        <v>0.34599999999999997</v>
      </c>
      <c r="H78" s="48"/>
      <c r="I78" s="49"/>
      <c r="J78" s="50">
        <v>0.65100000000000002</v>
      </c>
      <c r="K78" s="190"/>
      <c r="L78" s="190"/>
      <c r="M78" s="190"/>
      <c r="N78" s="190"/>
      <c r="O78" s="190"/>
      <c r="P78" s="195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s="35" customFormat="1" ht="13.5" customHeight="1" x14ac:dyDescent="0.25">
      <c r="A79" s="27"/>
      <c r="B79" s="208">
        <f t="shared" ref="B79" si="113">+B74+1</f>
        <v>13</v>
      </c>
      <c r="C79" s="211">
        <f t="shared" ref="C79" si="114">+C74+$N$12</f>
        <v>10.199999999999998</v>
      </c>
      <c r="D79" s="188">
        <v>0.255</v>
      </c>
      <c r="E79" s="188">
        <v>0.5</v>
      </c>
      <c r="F79" s="36" t="s">
        <v>75</v>
      </c>
      <c r="G79" s="37">
        <v>0</v>
      </c>
      <c r="H79" s="38"/>
      <c r="I79" s="39"/>
      <c r="J79" s="40"/>
      <c r="K79" s="188"/>
      <c r="L79" s="188"/>
      <c r="M79" s="188"/>
      <c r="N79" s="191"/>
      <c r="O79" s="192"/>
      <c r="P79" s="193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s="35" customFormat="1" ht="13.5" customHeight="1" x14ac:dyDescent="0.25">
      <c r="A80" s="27"/>
      <c r="B80" s="209"/>
      <c r="C80" s="189"/>
      <c r="D80" s="189"/>
      <c r="E80" s="189"/>
      <c r="F80" s="41" t="s">
        <v>76</v>
      </c>
      <c r="G80" s="42">
        <f t="shared" ref="G80" si="115">IF(E79&lt;0.125,"NA",IF(0.125&lt;=E79,(0.2*E79)))</f>
        <v>0.1</v>
      </c>
      <c r="H80" s="43"/>
      <c r="I80" s="44"/>
      <c r="J80" s="45"/>
      <c r="K80" s="189"/>
      <c r="L80" s="189"/>
      <c r="M80" s="189"/>
      <c r="N80" s="189"/>
      <c r="O80" s="189"/>
      <c r="P80" s="194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s="35" customFormat="1" ht="13.5" customHeight="1" x14ac:dyDescent="0.25">
      <c r="A81" s="27"/>
      <c r="B81" s="209"/>
      <c r="C81" s="189"/>
      <c r="D81" s="189"/>
      <c r="E81" s="189"/>
      <c r="F81" s="41" t="s">
        <v>77</v>
      </c>
      <c r="G81" s="42">
        <f t="shared" ref="G81" si="116">+E79*0.4</f>
        <v>0.2</v>
      </c>
      <c r="H81" s="43"/>
      <c r="I81" s="44"/>
      <c r="J81" s="45"/>
      <c r="K81" s="189"/>
      <c r="L81" s="189"/>
      <c r="M81" s="189"/>
      <c r="N81" s="189"/>
      <c r="O81" s="189"/>
      <c r="P81" s="194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s="35" customFormat="1" ht="13.5" customHeight="1" x14ac:dyDescent="0.25">
      <c r="A82" s="27"/>
      <c r="B82" s="209"/>
      <c r="C82" s="189"/>
      <c r="D82" s="189"/>
      <c r="E82" s="189"/>
      <c r="F82" s="41" t="s">
        <v>78</v>
      </c>
      <c r="G82" s="42">
        <f t="shared" ref="G82" si="117">IF(E79&lt;0.125,"NA",IF(0.125&lt;=E79,(0.8*E79)))</f>
        <v>0.4</v>
      </c>
      <c r="H82" s="43"/>
      <c r="I82" s="44"/>
      <c r="J82" s="45"/>
      <c r="K82" s="189"/>
      <c r="L82" s="189"/>
      <c r="M82" s="189"/>
      <c r="N82" s="189"/>
      <c r="O82" s="189"/>
      <c r="P82" s="194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s="35" customFormat="1" ht="13.5" customHeight="1" thickBot="1" x14ac:dyDescent="0.3">
      <c r="A83" s="27"/>
      <c r="B83" s="210"/>
      <c r="C83" s="190"/>
      <c r="D83" s="190"/>
      <c r="E83" s="190"/>
      <c r="F83" s="46" t="s">
        <v>79</v>
      </c>
      <c r="G83" s="47">
        <f t="shared" ref="G83" si="118">+E79</f>
        <v>0.5</v>
      </c>
      <c r="H83" s="48"/>
      <c r="I83" s="49"/>
      <c r="J83" s="50"/>
      <c r="K83" s="190"/>
      <c r="L83" s="190"/>
      <c r="M83" s="190"/>
      <c r="N83" s="190"/>
      <c r="O83" s="190"/>
      <c r="P83" s="195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s="35" customFormat="1" ht="13.5" customHeight="1" x14ac:dyDescent="0.25">
      <c r="A84" s="27"/>
      <c r="B84" s="208">
        <f t="shared" ref="B84" si="119">+B79+1</f>
        <v>14</v>
      </c>
      <c r="C84" s="211">
        <f t="shared" ref="C84" si="120">+C79+$N$12</f>
        <v>10.799999999999997</v>
      </c>
      <c r="D84" s="188">
        <v>0.42</v>
      </c>
      <c r="E84" s="188">
        <v>0.24</v>
      </c>
      <c r="F84" s="36" t="s">
        <v>75</v>
      </c>
      <c r="G84" s="37">
        <v>0</v>
      </c>
      <c r="H84" s="38"/>
      <c r="I84" s="39"/>
      <c r="J84" s="40">
        <v>1.7000000000000001E-2</v>
      </c>
      <c r="K84" s="188">
        <f t="shared" ref="K84" si="121">+IF(E84&lt;=0.12,(J86),(IF(E84&lt;0.16,((J85+2*J86+J87)/4),IF(E84&gt;=0.16,((J84+3*J85+2*J86+3*J87+J88)/10)))))</f>
        <v>6.3600000000000004E-2</v>
      </c>
      <c r="L84" s="188">
        <f t="shared" ref="L84" si="122">ROUND(+(D79+D84)/2*(C84-C79),3)</f>
        <v>0.20300000000000001</v>
      </c>
      <c r="M84" s="188">
        <f t="shared" ref="M84" si="123">ROUND(+K84*L84,4)</f>
        <v>1.29E-2</v>
      </c>
      <c r="N84" s="191">
        <f t="shared" ref="N84" si="124">ROUND(+M84/$M$138*100,2)</f>
        <v>1.99</v>
      </c>
      <c r="O84" s="192"/>
      <c r="P84" s="193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s="35" customFormat="1" ht="13.5" customHeight="1" x14ac:dyDescent="0.25">
      <c r="A85" s="27"/>
      <c r="B85" s="209"/>
      <c r="C85" s="189"/>
      <c r="D85" s="189"/>
      <c r="E85" s="189"/>
      <c r="F85" s="41" t="s">
        <v>76</v>
      </c>
      <c r="G85" s="42">
        <f t="shared" ref="G85" si="125">IF(E84&lt;0.125,"NA",IF(0.125&lt;=E84,(0.2*E84)))</f>
        <v>4.8000000000000001E-2</v>
      </c>
      <c r="H85" s="43"/>
      <c r="I85" s="44"/>
      <c r="J85" s="45">
        <v>1E-3</v>
      </c>
      <c r="K85" s="189"/>
      <c r="L85" s="189"/>
      <c r="M85" s="189"/>
      <c r="N85" s="189"/>
      <c r="O85" s="189"/>
      <c r="P85" s="194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s="35" customFormat="1" ht="13.5" customHeight="1" x14ac:dyDescent="0.25">
      <c r="A86" s="27"/>
      <c r="B86" s="209"/>
      <c r="C86" s="189"/>
      <c r="D86" s="189"/>
      <c r="E86" s="189"/>
      <c r="F86" s="41" t="s">
        <v>77</v>
      </c>
      <c r="G86" s="42">
        <f t="shared" ref="G86" si="126">+E84*0.4</f>
        <v>9.6000000000000002E-2</v>
      </c>
      <c r="H86" s="43"/>
      <c r="I86" s="44"/>
      <c r="J86" s="45">
        <v>6.3E-2</v>
      </c>
      <c r="K86" s="189"/>
      <c r="L86" s="189"/>
      <c r="M86" s="189"/>
      <c r="N86" s="189"/>
      <c r="O86" s="189"/>
      <c r="P86" s="194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s="35" customFormat="1" ht="13.5" customHeight="1" x14ac:dyDescent="0.25">
      <c r="A87" s="27"/>
      <c r="B87" s="209"/>
      <c r="C87" s="189"/>
      <c r="D87" s="189"/>
      <c r="E87" s="189"/>
      <c r="F87" s="41" t="s">
        <v>78</v>
      </c>
      <c r="G87" s="42">
        <f t="shared" ref="G87" si="127">IF(E84&lt;0.125,"NA",IF(0.125&lt;=E84,(0.8*E84)))</f>
        <v>0.192</v>
      </c>
      <c r="H87" s="43"/>
      <c r="I87" s="44"/>
      <c r="J87" s="45">
        <v>0.11799999999999999</v>
      </c>
      <c r="K87" s="189"/>
      <c r="L87" s="189"/>
      <c r="M87" s="189"/>
      <c r="N87" s="189"/>
      <c r="O87" s="189"/>
      <c r="P87" s="194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s="35" customFormat="1" ht="13.5" customHeight="1" thickBot="1" x14ac:dyDescent="0.3">
      <c r="A88" s="27"/>
      <c r="B88" s="210"/>
      <c r="C88" s="190"/>
      <c r="D88" s="190"/>
      <c r="E88" s="190"/>
      <c r="F88" s="46" t="s">
        <v>79</v>
      </c>
      <c r="G88" s="47">
        <f t="shared" ref="G88" si="128">+E84</f>
        <v>0.24</v>
      </c>
      <c r="H88" s="48"/>
      <c r="I88" s="49"/>
      <c r="J88" s="50">
        <v>0.13600000000000001</v>
      </c>
      <c r="K88" s="190"/>
      <c r="L88" s="190"/>
      <c r="M88" s="190"/>
      <c r="N88" s="190"/>
      <c r="O88" s="190"/>
      <c r="P88" s="195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s="35" customFormat="1" ht="13.5" customHeight="1" x14ac:dyDescent="0.25">
      <c r="A89" s="27" t="s">
        <v>119</v>
      </c>
      <c r="B89" s="208">
        <f t="shared" ref="B89" si="129">+B84+1</f>
        <v>15</v>
      </c>
      <c r="C89" s="211">
        <f t="shared" ref="C89" si="130">+C84+$N$12</f>
        <v>11.399999999999997</v>
      </c>
      <c r="D89" s="188">
        <v>0.4</v>
      </c>
      <c r="E89" s="188">
        <v>0.28999999999999998</v>
      </c>
      <c r="F89" s="36" t="s">
        <v>75</v>
      </c>
      <c r="G89" s="37">
        <v>0</v>
      </c>
      <c r="H89" s="38"/>
      <c r="I89" s="39"/>
      <c r="J89" s="40">
        <v>8.5000000000000006E-2</v>
      </c>
      <c r="K89" s="188">
        <f t="shared" ref="K89" si="131">+IF(E89&lt;=0.12,(J91),(IF(E89&lt;0.16,((J90+2*J91+J92)/4),IF(E89&gt;=0.16,((J89+3*J90+2*J91+3*J92+J93)/10)))))</f>
        <v>0.19119999999999998</v>
      </c>
      <c r="L89" s="188">
        <f t="shared" ref="L89" si="132">ROUND(+(D84+D89)/2*(C89-C84),3)</f>
        <v>0.246</v>
      </c>
      <c r="M89" s="188">
        <f t="shared" ref="M89" si="133">ROUND(+K89*L89,4)</f>
        <v>4.7E-2</v>
      </c>
      <c r="N89" s="191">
        <f t="shared" ref="N89" si="134">ROUND(+M89/$M$138*100,2)</f>
        <v>7.27</v>
      </c>
      <c r="O89" s="192"/>
      <c r="P89" s="193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s="35" customFormat="1" ht="13.5" customHeight="1" x14ac:dyDescent="0.25">
      <c r="A90" s="27"/>
      <c r="B90" s="209"/>
      <c r="C90" s="189"/>
      <c r="D90" s="189"/>
      <c r="E90" s="189"/>
      <c r="F90" s="41" t="s">
        <v>76</v>
      </c>
      <c r="G90" s="42">
        <f t="shared" ref="G90" si="135">IF(E89&lt;0.125,"NA",IF(0.125&lt;=E89,(0.2*E89)))</f>
        <v>5.7999999999999996E-2</v>
      </c>
      <c r="H90" s="43"/>
      <c r="I90" s="44"/>
      <c r="J90" s="45">
        <v>0.16200000000000001</v>
      </c>
      <c r="K90" s="189"/>
      <c r="L90" s="189"/>
      <c r="M90" s="189"/>
      <c r="N90" s="189"/>
      <c r="O90" s="189"/>
      <c r="P90" s="194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s="35" customFormat="1" ht="13.5" customHeight="1" x14ac:dyDescent="0.25">
      <c r="A91" s="27"/>
      <c r="B91" s="209"/>
      <c r="C91" s="189"/>
      <c r="D91" s="189"/>
      <c r="E91" s="189"/>
      <c r="F91" s="41" t="s">
        <v>77</v>
      </c>
      <c r="G91" s="42">
        <f t="shared" ref="G91" si="136">+E89*0.4</f>
        <v>0.11599999999999999</v>
      </c>
      <c r="H91" s="43"/>
      <c r="I91" s="44"/>
      <c r="J91" s="45">
        <v>0.219</v>
      </c>
      <c r="K91" s="189"/>
      <c r="L91" s="189"/>
      <c r="M91" s="189"/>
      <c r="N91" s="189"/>
      <c r="O91" s="189"/>
      <c r="P91" s="194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s="35" customFormat="1" ht="13.5" customHeight="1" x14ac:dyDescent="0.25">
      <c r="A92" s="27"/>
      <c r="B92" s="209"/>
      <c r="C92" s="189"/>
      <c r="D92" s="189"/>
      <c r="E92" s="189"/>
      <c r="F92" s="41" t="s">
        <v>78</v>
      </c>
      <c r="G92" s="42">
        <f t="shared" ref="G92" si="137">IF(E89&lt;0.125,"NA",IF(0.125&lt;=E89,(0.8*E89)))</f>
        <v>0.23199999999999998</v>
      </c>
      <c r="H92" s="43"/>
      <c r="I92" s="44"/>
      <c r="J92" s="45">
        <v>0.221</v>
      </c>
      <c r="K92" s="189"/>
      <c r="L92" s="189"/>
      <c r="M92" s="189"/>
      <c r="N92" s="189"/>
      <c r="O92" s="189"/>
      <c r="P92" s="194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s="35" customFormat="1" ht="13.5" customHeight="1" thickBot="1" x14ac:dyDescent="0.3">
      <c r="A93" s="27"/>
      <c r="B93" s="210"/>
      <c r="C93" s="190"/>
      <c r="D93" s="190"/>
      <c r="E93" s="190"/>
      <c r="F93" s="46" t="s">
        <v>79</v>
      </c>
      <c r="G93" s="47">
        <f t="shared" ref="G93" si="138">+E89</f>
        <v>0.28999999999999998</v>
      </c>
      <c r="H93" s="48"/>
      <c r="I93" s="49"/>
      <c r="J93" s="50">
        <v>0.24</v>
      </c>
      <c r="K93" s="190"/>
      <c r="L93" s="190"/>
      <c r="M93" s="190"/>
      <c r="N93" s="190"/>
      <c r="O93" s="190"/>
      <c r="P93" s="195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s="35" customFormat="1" ht="13.5" customHeight="1" x14ac:dyDescent="0.25">
      <c r="A94" s="27"/>
      <c r="B94" s="208">
        <f t="shared" ref="B94" si="139">+B89+1</f>
        <v>16</v>
      </c>
      <c r="C94" s="211">
        <f t="shared" ref="C94" si="140">+C89+$N$12</f>
        <v>11.999999999999996</v>
      </c>
      <c r="D94" s="188">
        <v>0.27</v>
      </c>
      <c r="E94" s="188">
        <v>0.32200000000000001</v>
      </c>
      <c r="F94" s="36" t="s">
        <v>75</v>
      </c>
      <c r="G94" s="37">
        <v>0</v>
      </c>
      <c r="H94" s="38"/>
      <c r="I94" s="39"/>
      <c r="J94" s="40">
        <v>0.247</v>
      </c>
      <c r="K94" s="188">
        <f t="shared" ref="K94" si="141">+IF(E94&lt;=0.12,(J96),(IF(E94&lt;0.16,((J95+2*J96+J97)/4),IF(E94&gt;=0.16,((J94+3*J95+2*J96+3*J97+J98)/10)))))</f>
        <v>0.15899999999999997</v>
      </c>
      <c r="L94" s="188">
        <f t="shared" ref="L94" si="142">ROUND(+(D89+D94)/2*(C94-C89),3)</f>
        <v>0.20100000000000001</v>
      </c>
      <c r="M94" s="188">
        <f t="shared" ref="M94" si="143">ROUND(+K94*L94,4)</f>
        <v>3.2000000000000001E-2</v>
      </c>
      <c r="N94" s="191">
        <f t="shared" ref="N94" si="144">ROUND(+M94/$M$138*100,2)</f>
        <v>4.95</v>
      </c>
      <c r="O94" s="192"/>
      <c r="P94" s="193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s="35" customFormat="1" ht="13.5" customHeight="1" x14ac:dyDescent="0.25">
      <c r="A95" s="27"/>
      <c r="B95" s="209"/>
      <c r="C95" s="189"/>
      <c r="D95" s="189"/>
      <c r="E95" s="189"/>
      <c r="F95" s="41" t="s">
        <v>76</v>
      </c>
      <c r="G95" s="42">
        <f t="shared" ref="G95" si="145">IF(E94&lt;0.125,"NA",IF(0.125&lt;=E94,(0.2*E94)))</f>
        <v>6.4399999999999999E-2</v>
      </c>
      <c r="H95" s="43"/>
      <c r="I95" s="44"/>
      <c r="J95" s="45">
        <v>0.129</v>
      </c>
      <c r="K95" s="189"/>
      <c r="L95" s="189"/>
      <c r="M95" s="189"/>
      <c r="N95" s="189"/>
      <c r="O95" s="189"/>
      <c r="P95" s="194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s="35" customFormat="1" ht="13.5" customHeight="1" x14ac:dyDescent="0.25">
      <c r="A96" s="27"/>
      <c r="B96" s="209"/>
      <c r="C96" s="189"/>
      <c r="D96" s="189"/>
      <c r="E96" s="189"/>
      <c r="F96" s="41" t="s">
        <v>77</v>
      </c>
      <c r="G96" s="42">
        <f t="shared" ref="G96" si="146">+E94*0.4</f>
        <v>0.1288</v>
      </c>
      <c r="H96" s="43"/>
      <c r="I96" s="44"/>
      <c r="J96" s="45">
        <v>0.17</v>
      </c>
      <c r="K96" s="189"/>
      <c r="L96" s="189"/>
      <c r="M96" s="189"/>
      <c r="N96" s="189"/>
      <c r="O96" s="189"/>
      <c r="P96" s="194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s="35" customFormat="1" ht="13.5" customHeight="1" x14ac:dyDescent="0.25">
      <c r="A97" s="27"/>
      <c r="B97" s="209"/>
      <c r="C97" s="189"/>
      <c r="D97" s="189"/>
      <c r="E97" s="189"/>
      <c r="F97" s="41" t="s">
        <v>78</v>
      </c>
      <c r="G97" s="42">
        <f t="shared" ref="G97" si="147">IF(E94&lt;0.125,"NA",IF(0.125&lt;=E94,(0.8*E94)))</f>
        <v>0.2576</v>
      </c>
      <c r="H97" s="43"/>
      <c r="I97" s="44"/>
      <c r="J97" s="45">
        <v>0.161</v>
      </c>
      <c r="K97" s="189"/>
      <c r="L97" s="189"/>
      <c r="M97" s="189"/>
      <c r="N97" s="189"/>
      <c r="O97" s="189"/>
      <c r="P97" s="194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s="35" customFormat="1" ht="13.5" customHeight="1" thickBot="1" x14ac:dyDescent="0.3">
      <c r="A98" s="27"/>
      <c r="B98" s="210"/>
      <c r="C98" s="190"/>
      <c r="D98" s="190"/>
      <c r="E98" s="190"/>
      <c r="F98" s="46" t="s">
        <v>79</v>
      </c>
      <c r="G98" s="47">
        <f t="shared" ref="G98" si="148">+E94</f>
        <v>0.32200000000000001</v>
      </c>
      <c r="H98" s="48"/>
      <c r="I98" s="49"/>
      <c r="J98" s="50">
        <v>0.13300000000000001</v>
      </c>
      <c r="K98" s="190"/>
      <c r="L98" s="190"/>
      <c r="M98" s="190"/>
      <c r="N98" s="190"/>
      <c r="O98" s="190"/>
      <c r="P98" s="195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s="35" customFormat="1" ht="13.5" customHeight="1" x14ac:dyDescent="0.25">
      <c r="A99" s="27"/>
      <c r="B99" s="208">
        <f t="shared" ref="B99" si="149">+B94+1</f>
        <v>17</v>
      </c>
      <c r="C99" s="211">
        <f t="shared" ref="C99" si="150">+C94+$N$12</f>
        <v>12.599999999999996</v>
      </c>
      <c r="D99" s="188">
        <v>0.06</v>
      </c>
      <c r="E99" s="188">
        <v>0.05</v>
      </c>
      <c r="F99" s="36" t="s">
        <v>75</v>
      </c>
      <c r="G99" s="37">
        <v>0</v>
      </c>
      <c r="H99" s="38"/>
      <c r="I99" s="39"/>
      <c r="J99" s="40">
        <v>0.224</v>
      </c>
      <c r="K99" s="188">
        <f t="shared" ref="K99" si="151">+IF(E99&lt;=0.12,(J101),(IF(E99&lt;0.16,((J100+2*J101+J102)/4),IF(E99&gt;=0.16,((J99+3*J100+2*J101+3*J102+J103)/10)))))</f>
        <v>0.22500000000000001</v>
      </c>
      <c r="L99" s="188">
        <f t="shared" ref="L99" si="152">ROUND(+(D94+D99)/2*(C99-C94),3)</f>
        <v>9.9000000000000005E-2</v>
      </c>
      <c r="M99" s="188">
        <f t="shared" ref="M99" si="153">ROUND(+K99*L99,4)</f>
        <v>2.23E-2</v>
      </c>
      <c r="N99" s="191">
        <f t="shared" ref="N99" si="154">ROUND(+M99/$M$138*100,2)</f>
        <v>3.45</v>
      </c>
      <c r="O99" s="192"/>
      <c r="P99" s="193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s="35" customFormat="1" ht="13.5" customHeight="1" x14ac:dyDescent="0.25">
      <c r="A100" s="27"/>
      <c r="B100" s="209"/>
      <c r="C100" s="189"/>
      <c r="D100" s="189"/>
      <c r="E100" s="189"/>
      <c r="F100" s="41" t="s">
        <v>76</v>
      </c>
      <c r="G100" s="42" t="str">
        <f t="shared" ref="G100" si="155">IF(E99&lt;0.125,"NA",IF(0.125&lt;=E99,(0.2*E99)))</f>
        <v>NA</v>
      </c>
      <c r="H100" s="43"/>
      <c r="I100" s="44"/>
      <c r="J100" s="45"/>
      <c r="K100" s="189"/>
      <c r="L100" s="189"/>
      <c r="M100" s="189"/>
      <c r="N100" s="189"/>
      <c r="O100" s="189"/>
      <c r="P100" s="194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s="35" customFormat="1" ht="13.5" customHeight="1" x14ac:dyDescent="0.25">
      <c r="A101" s="27"/>
      <c r="B101" s="209"/>
      <c r="C101" s="189"/>
      <c r="D101" s="189"/>
      <c r="E101" s="189"/>
      <c r="F101" s="41" t="s">
        <v>77</v>
      </c>
      <c r="G101" s="42">
        <f t="shared" ref="G101" si="156">+E99*0.4</f>
        <v>2.0000000000000004E-2</v>
      </c>
      <c r="H101" s="43"/>
      <c r="I101" s="44"/>
      <c r="J101" s="45">
        <v>0.22500000000000001</v>
      </c>
      <c r="K101" s="189"/>
      <c r="L101" s="189"/>
      <c r="M101" s="189"/>
      <c r="N101" s="189"/>
      <c r="O101" s="189"/>
      <c r="P101" s="194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s="35" customFormat="1" ht="13.5" customHeight="1" x14ac:dyDescent="0.25">
      <c r="A102" s="27"/>
      <c r="B102" s="209"/>
      <c r="C102" s="189"/>
      <c r="D102" s="189"/>
      <c r="E102" s="189"/>
      <c r="F102" s="41" t="s">
        <v>78</v>
      </c>
      <c r="G102" s="42" t="str">
        <f t="shared" ref="G102" si="157">IF(E99&lt;0.125,"NA",IF(0.125&lt;=E99,(0.8*E99)))</f>
        <v>NA</v>
      </c>
      <c r="H102" s="43"/>
      <c r="I102" s="44"/>
      <c r="J102" s="45"/>
      <c r="K102" s="189"/>
      <c r="L102" s="189"/>
      <c r="M102" s="189"/>
      <c r="N102" s="189"/>
      <c r="O102" s="189"/>
      <c r="P102" s="194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s="35" customFormat="1" ht="13.5" customHeight="1" thickBot="1" x14ac:dyDescent="0.3">
      <c r="A103" s="27"/>
      <c r="B103" s="210"/>
      <c r="C103" s="190"/>
      <c r="D103" s="190"/>
      <c r="E103" s="190"/>
      <c r="F103" s="46" t="s">
        <v>79</v>
      </c>
      <c r="G103" s="47">
        <f t="shared" ref="G103" si="158">+E99</f>
        <v>0.05</v>
      </c>
      <c r="H103" s="48"/>
      <c r="I103" s="49"/>
      <c r="J103" s="50">
        <v>0.26500000000000001</v>
      </c>
      <c r="K103" s="190"/>
      <c r="L103" s="190"/>
      <c r="M103" s="190"/>
      <c r="N103" s="190"/>
      <c r="O103" s="190"/>
      <c r="P103" s="195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s="35" customFormat="1" ht="13.5" customHeight="1" x14ac:dyDescent="0.25">
      <c r="A104" s="27"/>
      <c r="B104" s="208">
        <f t="shared" ref="B104" si="159">+B99+1</f>
        <v>18</v>
      </c>
      <c r="C104" s="211">
        <f t="shared" ref="C104" si="160">+C99+$N$12</f>
        <v>13.199999999999996</v>
      </c>
      <c r="D104" s="188">
        <v>0.19</v>
      </c>
      <c r="E104" s="188">
        <v>0.16</v>
      </c>
      <c r="F104" s="36" t="s">
        <v>75</v>
      </c>
      <c r="G104" s="37">
        <v>0</v>
      </c>
      <c r="H104" s="38"/>
      <c r="I104" s="39"/>
      <c r="J104" s="40">
        <v>0.14499999999999999</v>
      </c>
      <c r="K104" s="188">
        <f t="shared" ref="K104" si="161">+IF(E104&lt;=0.12,(J106),(IF(E104&lt;0.16,((J105+2*J106+J107)/4),IF(E104&gt;=0.16,((J104+3*J105+2*J106+3*J107+J108)/10)))))</f>
        <v>0.32350000000000001</v>
      </c>
      <c r="L104" s="188">
        <f t="shared" ref="L104" si="162">ROUND(+(D99+D104)/2*(C104-C99),3)</f>
        <v>7.4999999999999997E-2</v>
      </c>
      <c r="M104" s="188">
        <f t="shared" ref="M104" si="163">ROUND(+K104*L104,4)</f>
        <v>2.4299999999999999E-2</v>
      </c>
      <c r="N104" s="191">
        <f t="shared" ref="N104" si="164">ROUND(+M104/$M$138*100,2)</f>
        <v>3.76</v>
      </c>
      <c r="O104" s="192"/>
      <c r="P104" s="193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s="35" customFormat="1" ht="13.5" customHeight="1" x14ac:dyDescent="0.25">
      <c r="A105" s="27"/>
      <c r="B105" s="209"/>
      <c r="C105" s="189"/>
      <c r="D105" s="189"/>
      <c r="E105" s="189"/>
      <c r="F105" s="41" t="s">
        <v>76</v>
      </c>
      <c r="G105" s="42">
        <f t="shared" ref="G105" si="165">IF(E104&lt;0.125,"NA",IF(0.125&lt;=E104,(0.2*E104)))</f>
        <v>3.2000000000000001E-2</v>
      </c>
      <c r="H105" s="43"/>
      <c r="I105" s="44"/>
      <c r="J105" s="45">
        <v>0.27600000000000002</v>
      </c>
      <c r="K105" s="189"/>
      <c r="L105" s="189"/>
      <c r="M105" s="189"/>
      <c r="N105" s="189"/>
      <c r="O105" s="189"/>
      <c r="P105" s="194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s="35" customFormat="1" ht="13.5" customHeight="1" x14ac:dyDescent="0.25">
      <c r="A106" s="27"/>
      <c r="B106" s="209"/>
      <c r="C106" s="189"/>
      <c r="D106" s="189"/>
      <c r="E106" s="189"/>
      <c r="F106" s="41" t="s">
        <v>77</v>
      </c>
      <c r="G106" s="42">
        <f t="shared" ref="G106" si="166">+E104*0.4</f>
        <v>6.4000000000000001E-2</v>
      </c>
      <c r="H106" s="43"/>
      <c r="I106" s="44"/>
      <c r="J106" s="45">
        <v>0.33200000000000002</v>
      </c>
      <c r="K106" s="189"/>
      <c r="L106" s="189"/>
      <c r="M106" s="189"/>
      <c r="N106" s="189"/>
      <c r="O106" s="189"/>
      <c r="P106" s="194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s="35" customFormat="1" ht="13.5" customHeight="1" x14ac:dyDescent="0.25">
      <c r="A107" s="27"/>
      <c r="B107" s="209"/>
      <c r="C107" s="189"/>
      <c r="D107" s="189"/>
      <c r="E107" s="189"/>
      <c r="F107" s="41" t="s">
        <v>78</v>
      </c>
      <c r="G107" s="42">
        <f t="shared" ref="G107" si="167">IF(E104&lt;0.125,"NA",IF(0.125&lt;=E104,(0.8*E104)))</f>
        <v>0.128</v>
      </c>
      <c r="H107" s="43"/>
      <c r="I107" s="44"/>
      <c r="J107" s="45">
        <v>0.40200000000000002</v>
      </c>
      <c r="K107" s="189"/>
      <c r="L107" s="189"/>
      <c r="M107" s="189"/>
      <c r="N107" s="189"/>
      <c r="O107" s="189"/>
      <c r="P107" s="194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s="35" customFormat="1" ht="13.5" customHeight="1" thickBot="1" x14ac:dyDescent="0.3">
      <c r="A108" s="27"/>
      <c r="B108" s="210"/>
      <c r="C108" s="190"/>
      <c r="D108" s="190"/>
      <c r="E108" s="190"/>
      <c r="F108" s="46" t="s">
        <v>79</v>
      </c>
      <c r="G108" s="47">
        <f t="shared" ref="G108" si="168">+E104</f>
        <v>0.16</v>
      </c>
      <c r="H108" s="48"/>
      <c r="I108" s="49"/>
      <c r="J108" s="50">
        <v>0.39200000000000002</v>
      </c>
      <c r="K108" s="190"/>
      <c r="L108" s="190"/>
      <c r="M108" s="190"/>
      <c r="N108" s="190"/>
      <c r="O108" s="190"/>
      <c r="P108" s="195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s="35" customFormat="1" ht="13.5" customHeight="1" x14ac:dyDescent="0.25">
      <c r="A109" s="27"/>
      <c r="B109" s="208">
        <f t="shared" ref="B109" si="169">+B104+1</f>
        <v>19</v>
      </c>
      <c r="C109" s="211">
        <f t="shared" ref="C109" si="170">+C104+$N$12</f>
        <v>13.799999999999995</v>
      </c>
      <c r="D109" s="188">
        <v>0.13</v>
      </c>
      <c r="E109" s="188">
        <v>8.6999999999999994E-2</v>
      </c>
      <c r="F109" s="36" t="s">
        <v>75</v>
      </c>
      <c r="G109" s="37">
        <v>0</v>
      </c>
      <c r="H109" s="38"/>
      <c r="I109" s="39"/>
      <c r="J109" s="40">
        <v>6.0000000000000001E-3</v>
      </c>
      <c r="K109" s="188">
        <f t="shared" ref="K109" si="171">+IF(E109&lt;=0.12,(J111),(IF(E109&lt;0.16,((J110+2*J111+J112)/4),IF(E109&gt;=0.16,((J109+3*J110+2*J111+3*J112+J113)/10)))))</f>
        <v>3.0000000000000001E-3</v>
      </c>
      <c r="L109" s="188">
        <f t="shared" ref="L109" si="172">ROUND(+(D104+D109)/2*(C109-C104),3)</f>
        <v>9.6000000000000002E-2</v>
      </c>
      <c r="M109" s="188">
        <f t="shared" ref="M109" si="173">ROUND(+K109*L109,4)</f>
        <v>2.9999999999999997E-4</v>
      </c>
      <c r="N109" s="191">
        <f t="shared" ref="N109" si="174">ROUND(+M109/$M$138*100,2)</f>
        <v>0.05</v>
      </c>
      <c r="O109" s="192"/>
      <c r="P109" s="193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s="35" customFormat="1" ht="13.5" customHeight="1" x14ac:dyDescent="0.25">
      <c r="A110" s="27"/>
      <c r="B110" s="209"/>
      <c r="C110" s="189"/>
      <c r="D110" s="189"/>
      <c r="E110" s="189"/>
      <c r="F110" s="41" t="s">
        <v>76</v>
      </c>
      <c r="G110" s="42" t="str">
        <f t="shared" ref="G110" si="175">IF(E109&lt;0.125,"NA",IF(0.125&lt;=E109,(0.2*E109)))</f>
        <v>NA</v>
      </c>
      <c r="H110" s="43"/>
      <c r="I110" s="44"/>
      <c r="J110" s="45"/>
      <c r="K110" s="189"/>
      <c r="L110" s="189"/>
      <c r="M110" s="189"/>
      <c r="N110" s="189"/>
      <c r="O110" s="189"/>
      <c r="P110" s="194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s="35" customFormat="1" ht="13.5" customHeight="1" x14ac:dyDescent="0.25">
      <c r="A111" s="27"/>
      <c r="B111" s="209"/>
      <c r="C111" s="189"/>
      <c r="D111" s="189"/>
      <c r="E111" s="189"/>
      <c r="F111" s="41" t="s">
        <v>77</v>
      </c>
      <c r="G111" s="42">
        <f t="shared" ref="G111" si="176">+E109*0.4</f>
        <v>3.4799999999999998E-2</v>
      </c>
      <c r="H111" s="43"/>
      <c r="I111" s="44"/>
      <c r="J111" s="45">
        <v>3.0000000000000001E-3</v>
      </c>
      <c r="K111" s="189"/>
      <c r="L111" s="189"/>
      <c r="M111" s="189"/>
      <c r="N111" s="189"/>
      <c r="O111" s="189"/>
      <c r="P111" s="194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s="35" customFormat="1" ht="13.5" customHeight="1" x14ac:dyDescent="0.25">
      <c r="A112" s="27"/>
      <c r="B112" s="209"/>
      <c r="C112" s="189"/>
      <c r="D112" s="189"/>
      <c r="E112" s="189"/>
      <c r="F112" s="41" t="s">
        <v>78</v>
      </c>
      <c r="G112" s="42" t="str">
        <f t="shared" ref="G112" si="177">IF(E109&lt;0.125,"NA",IF(0.125&lt;=E109,(0.8*E109)))</f>
        <v>NA</v>
      </c>
      <c r="H112" s="43"/>
      <c r="I112" s="44"/>
      <c r="J112" s="45"/>
      <c r="K112" s="189"/>
      <c r="L112" s="189"/>
      <c r="M112" s="189"/>
      <c r="N112" s="189"/>
      <c r="O112" s="189"/>
      <c r="P112" s="194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s="35" customFormat="1" ht="13.5" customHeight="1" thickBot="1" x14ac:dyDescent="0.3">
      <c r="A113" s="27"/>
      <c r="B113" s="210"/>
      <c r="C113" s="190"/>
      <c r="D113" s="190"/>
      <c r="E113" s="190"/>
      <c r="F113" s="46" t="s">
        <v>79</v>
      </c>
      <c r="G113" s="47">
        <f t="shared" ref="G113" si="178">+E109</f>
        <v>8.6999999999999994E-2</v>
      </c>
      <c r="H113" s="48"/>
      <c r="I113" s="49"/>
      <c r="J113" s="50">
        <v>2.4E-2</v>
      </c>
      <c r="K113" s="190"/>
      <c r="L113" s="190"/>
      <c r="M113" s="190"/>
      <c r="N113" s="190"/>
      <c r="O113" s="190"/>
      <c r="P113" s="195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s="35" customFormat="1" ht="13.5" customHeight="1" x14ac:dyDescent="0.25">
      <c r="A114" s="27"/>
      <c r="B114" s="208">
        <f t="shared" ref="B114" si="179">+B109+1</f>
        <v>20</v>
      </c>
      <c r="C114" s="211">
        <f t="shared" ref="C114" si="180">+C109+$N$12</f>
        <v>14.399999999999995</v>
      </c>
      <c r="D114" s="188">
        <v>0.06</v>
      </c>
      <c r="E114" s="188">
        <v>0.153</v>
      </c>
      <c r="F114" s="36" t="s">
        <v>75</v>
      </c>
      <c r="G114" s="37">
        <v>0</v>
      </c>
      <c r="H114" s="38"/>
      <c r="I114" s="39"/>
      <c r="J114" s="40">
        <v>0.20200000000000001</v>
      </c>
      <c r="K114" s="188">
        <f t="shared" ref="K114" si="181">+IF(E114&lt;=0.12,(J116),(IF(E114&lt;0.16,((J115+2*J116+J117)/4),IF(E114&gt;=0.16,((J114+3*J115+2*J116+3*J117+J118)/10)))))</f>
        <v>0.20849999999999999</v>
      </c>
      <c r="L114" s="188">
        <f>ROUND(+(D109+D114)/2*(C114-C109),3)</f>
        <v>5.7000000000000002E-2</v>
      </c>
      <c r="M114" s="188">
        <f t="shared" ref="M114" si="182">ROUND(+K114*L114,4)</f>
        <v>1.1900000000000001E-2</v>
      </c>
      <c r="N114" s="191">
        <f>ROUND(+M114/$M$138*100,2)</f>
        <v>1.84</v>
      </c>
      <c r="O114" s="192"/>
      <c r="P114" s="193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s="35" customFormat="1" ht="13.5" customHeight="1" x14ac:dyDescent="0.25">
      <c r="A115" s="27"/>
      <c r="B115" s="209"/>
      <c r="C115" s="189"/>
      <c r="D115" s="189"/>
      <c r="E115" s="189"/>
      <c r="F115" s="41" t="s">
        <v>76</v>
      </c>
      <c r="G115" s="42">
        <f t="shared" ref="G115" si="183">IF(E114&lt;0.125,"NA",IF(0.125&lt;=E114,(0.2*E114)))</f>
        <v>3.0600000000000002E-2</v>
      </c>
      <c r="H115" s="43"/>
      <c r="I115" s="44"/>
      <c r="J115" s="45">
        <v>0.19700000000000001</v>
      </c>
      <c r="K115" s="189"/>
      <c r="L115" s="189"/>
      <c r="M115" s="189"/>
      <c r="N115" s="189"/>
      <c r="O115" s="189"/>
      <c r="P115" s="194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s="35" customFormat="1" ht="13.5" customHeight="1" x14ac:dyDescent="0.25">
      <c r="A116" s="27"/>
      <c r="B116" s="209"/>
      <c r="C116" s="189"/>
      <c r="D116" s="189"/>
      <c r="E116" s="189"/>
      <c r="F116" s="41" t="s">
        <v>77</v>
      </c>
      <c r="G116" s="42">
        <f t="shared" ref="G116" si="184">+E114*0.4</f>
        <v>6.1200000000000004E-2</v>
      </c>
      <c r="H116" s="43"/>
      <c r="I116" s="44"/>
      <c r="J116" s="45">
        <v>0.20499999999999999</v>
      </c>
      <c r="K116" s="189"/>
      <c r="L116" s="189"/>
      <c r="M116" s="189"/>
      <c r="N116" s="189"/>
      <c r="O116" s="189"/>
      <c r="P116" s="194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s="35" customFormat="1" ht="13.5" customHeight="1" x14ac:dyDescent="0.25">
      <c r="A117" s="27"/>
      <c r="B117" s="209"/>
      <c r="C117" s="189"/>
      <c r="D117" s="189"/>
      <c r="E117" s="189"/>
      <c r="F117" s="41" t="s">
        <v>78</v>
      </c>
      <c r="G117" s="42">
        <f t="shared" ref="G117" si="185">IF(E114&lt;0.125,"NA",IF(0.125&lt;=E114,(0.8*E114)))</f>
        <v>0.12240000000000001</v>
      </c>
      <c r="H117" s="43"/>
      <c r="I117" s="44"/>
      <c r="J117" s="45">
        <v>0.22700000000000001</v>
      </c>
      <c r="K117" s="189"/>
      <c r="L117" s="189"/>
      <c r="M117" s="189"/>
      <c r="N117" s="189"/>
      <c r="O117" s="189"/>
      <c r="P117" s="194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s="35" customFormat="1" ht="13.5" customHeight="1" thickBot="1" x14ac:dyDescent="0.3">
      <c r="A118" s="27"/>
      <c r="B118" s="210"/>
      <c r="C118" s="190"/>
      <c r="D118" s="190"/>
      <c r="E118" s="190"/>
      <c r="F118" s="46" t="s">
        <v>79</v>
      </c>
      <c r="G118" s="47">
        <f t="shared" ref="G118" si="186">+E114</f>
        <v>0.153</v>
      </c>
      <c r="H118" s="48"/>
      <c r="I118" s="49"/>
      <c r="J118" s="50">
        <v>0.28100000000000003</v>
      </c>
      <c r="K118" s="190"/>
      <c r="L118" s="190"/>
      <c r="M118" s="190"/>
      <c r="N118" s="190"/>
      <c r="O118" s="190"/>
      <c r="P118" s="195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s="3" customFormat="1" ht="13.5" customHeight="1" x14ac:dyDescent="0.2">
      <c r="B119" s="196" t="s">
        <v>28</v>
      </c>
      <c r="C119" s="199"/>
      <c r="D119" s="200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1"/>
    </row>
    <row r="120" spans="1:26" s="3" customFormat="1" ht="14.1" customHeight="1" x14ac:dyDescent="0.2">
      <c r="B120" s="197"/>
      <c r="C120" s="202"/>
      <c r="D120" s="203"/>
      <c r="E120" s="203"/>
      <c r="F120" s="203"/>
      <c r="G120" s="203"/>
      <c r="H120" s="203"/>
      <c r="I120" s="203"/>
      <c r="J120" s="203"/>
      <c r="K120" s="203"/>
      <c r="L120" s="203"/>
      <c r="M120" s="203"/>
      <c r="N120" s="203"/>
      <c r="O120" s="203"/>
      <c r="P120" s="204"/>
    </row>
    <row r="121" spans="1:26" s="3" customFormat="1" ht="14.1" customHeight="1" x14ac:dyDescent="0.2">
      <c r="B121" s="197"/>
      <c r="C121" s="202"/>
      <c r="D121" s="203"/>
      <c r="E121" s="203"/>
      <c r="F121" s="203"/>
      <c r="G121" s="203"/>
      <c r="H121" s="203"/>
      <c r="I121" s="203"/>
      <c r="J121" s="203"/>
      <c r="K121" s="203"/>
      <c r="L121" s="203"/>
      <c r="M121" s="203"/>
      <c r="N121" s="203"/>
      <c r="O121" s="203"/>
      <c r="P121" s="204"/>
    </row>
    <row r="122" spans="1:26" s="3" customFormat="1" ht="14.1" customHeight="1" x14ac:dyDescent="0.2">
      <c r="B122" s="197"/>
      <c r="C122" s="202"/>
      <c r="D122" s="203"/>
      <c r="E122" s="203"/>
      <c r="F122" s="203"/>
      <c r="G122" s="203"/>
      <c r="H122" s="203"/>
      <c r="I122" s="203"/>
      <c r="J122" s="203"/>
      <c r="K122" s="203"/>
      <c r="L122" s="203"/>
      <c r="M122" s="203"/>
      <c r="N122" s="203"/>
      <c r="O122" s="203"/>
      <c r="P122" s="204"/>
    </row>
    <row r="123" spans="1:26" s="3" customFormat="1" ht="14.1" customHeight="1" x14ac:dyDescent="0.2">
      <c r="B123" s="197"/>
      <c r="C123" s="202"/>
      <c r="D123" s="203"/>
      <c r="E123" s="203"/>
      <c r="F123" s="203"/>
      <c r="G123" s="203"/>
      <c r="H123" s="203"/>
      <c r="I123" s="203"/>
      <c r="J123" s="203"/>
      <c r="K123" s="203"/>
      <c r="L123" s="203"/>
      <c r="M123" s="203"/>
      <c r="N123" s="203"/>
      <c r="O123" s="203"/>
      <c r="P123" s="204"/>
    </row>
    <row r="124" spans="1:26" s="3" customFormat="1" ht="14.1" customHeight="1" thickBot="1" x14ac:dyDescent="0.25">
      <c r="B124" s="198"/>
      <c r="C124" s="205"/>
      <c r="D124" s="206"/>
      <c r="E124" s="206"/>
      <c r="F124" s="206"/>
      <c r="G124" s="206"/>
      <c r="H124" s="206"/>
      <c r="I124" s="206"/>
      <c r="J124" s="206"/>
      <c r="K124" s="206"/>
      <c r="L124" s="206"/>
      <c r="M124" s="206"/>
      <c r="N124" s="206"/>
      <c r="O124" s="206"/>
      <c r="P124" s="207"/>
    </row>
    <row r="125" spans="1:26" s="3" customFormat="1" ht="28.5" customHeight="1" thickBot="1" x14ac:dyDescent="0.25">
      <c r="A125" s="51"/>
      <c r="B125" s="52" t="s">
        <v>80</v>
      </c>
      <c r="C125" s="175" t="s">
        <v>81</v>
      </c>
      <c r="D125" s="175"/>
      <c r="E125" s="175"/>
      <c r="F125" s="175"/>
      <c r="G125" s="175"/>
      <c r="H125" s="176"/>
      <c r="I125" s="177"/>
      <c r="J125" s="52" t="s">
        <v>82</v>
      </c>
      <c r="K125" s="175" t="s">
        <v>83</v>
      </c>
      <c r="L125" s="175"/>
      <c r="M125" s="175"/>
      <c r="N125" s="175"/>
      <c r="O125" s="175"/>
      <c r="P125" s="176"/>
    </row>
    <row r="126" spans="1:26" s="3" customFormat="1" ht="28.5" customHeight="1" thickBot="1" x14ac:dyDescent="0.25">
      <c r="B126" s="53" t="s">
        <v>84</v>
      </c>
      <c r="C126" s="179" t="s">
        <v>85</v>
      </c>
      <c r="D126" s="179"/>
      <c r="E126" s="179"/>
      <c r="F126" s="179"/>
      <c r="G126" s="179"/>
      <c r="H126" s="180"/>
      <c r="I126" s="178"/>
      <c r="J126" s="53" t="s">
        <v>86</v>
      </c>
      <c r="K126" s="179" t="s">
        <v>87</v>
      </c>
      <c r="L126" s="179"/>
      <c r="M126" s="179"/>
      <c r="N126" s="179"/>
      <c r="O126" s="179"/>
      <c r="P126" s="180"/>
    </row>
    <row r="127" spans="1:26" s="91" customFormat="1" ht="13.5" customHeight="1" x14ac:dyDescent="0.25">
      <c r="A127" s="54"/>
      <c r="B127" s="181">
        <f>+B79</f>
        <v>13</v>
      </c>
      <c r="C127" s="184">
        <f>+C74</f>
        <v>9.5999999999999979</v>
      </c>
      <c r="D127" s="186">
        <f>+D74</f>
        <v>0.33</v>
      </c>
      <c r="E127" s="186">
        <f>+E79</f>
        <v>0.5</v>
      </c>
      <c r="F127" s="55" t="s">
        <v>75</v>
      </c>
      <c r="G127" s="55">
        <v>0.01</v>
      </c>
      <c r="H127" s="56"/>
      <c r="I127" s="57"/>
      <c r="J127" s="58">
        <v>0.17</v>
      </c>
      <c r="K127" s="187">
        <f>+AVERAGE(J127:J137)</f>
        <v>0.37572727272727274</v>
      </c>
      <c r="L127" s="166">
        <f>ROUND(+(D127+D132)/2*(C132-C127),3)</f>
        <v>0.17599999999999999</v>
      </c>
      <c r="M127" s="169">
        <f>ROUND(+K127*L127,4)</f>
        <v>6.6100000000000006E-2</v>
      </c>
      <c r="N127" s="166">
        <f>ROUND(+M127/$M$138*100,2)</f>
        <v>10.220000000000001</v>
      </c>
      <c r="O127" s="166"/>
      <c r="P127" s="170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spans="1:26" s="91" customFormat="1" ht="13.5" customHeight="1" x14ac:dyDescent="0.25">
      <c r="A128" s="54"/>
      <c r="B128" s="182"/>
      <c r="C128" s="167"/>
      <c r="D128" s="167"/>
      <c r="E128" s="167"/>
      <c r="F128" s="60" t="s">
        <v>88</v>
      </c>
      <c r="G128" s="61">
        <f>+E127*0.1</f>
        <v>0.05</v>
      </c>
      <c r="H128" s="62"/>
      <c r="I128" s="63"/>
      <c r="J128" s="64">
        <v>0.23899999999999999</v>
      </c>
      <c r="K128" s="167"/>
      <c r="L128" s="167"/>
      <c r="M128" s="167"/>
      <c r="N128" s="167"/>
      <c r="O128" s="167"/>
      <c r="P128" s="171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spans="1:26" s="91" customFormat="1" ht="13.5" customHeight="1" x14ac:dyDescent="0.25">
      <c r="A129" s="54"/>
      <c r="B129" s="182"/>
      <c r="C129" s="167"/>
      <c r="D129" s="167"/>
      <c r="E129" s="167"/>
      <c r="F129" s="60" t="s">
        <v>89</v>
      </c>
      <c r="G129" s="61">
        <f>+E127*0.2</f>
        <v>0.1</v>
      </c>
      <c r="H129" s="62"/>
      <c r="I129" s="63"/>
      <c r="J129" s="64">
        <v>0.36899999999999999</v>
      </c>
      <c r="K129" s="167"/>
      <c r="L129" s="167"/>
      <c r="M129" s="167"/>
      <c r="N129" s="167"/>
      <c r="O129" s="167"/>
      <c r="P129" s="171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spans="1:26" s="91" customFormat="1" ht="13.5" customHeight="1" x14ac:dyDescent="0.25">
      <c r="A130" s="54"/>
      <c r="B130" s="182"/>
      <c r="C130" s="167"/>
      <c r="D130" s="167"/>
      <c r="E130" s="167"/>
      <c r="F130" s="60" t="s">
        <v>90</v>
      </c>
      <c r="G130" s="61">
        <f>+E127*0.3</f>
        <v>0.15</v>
      </c>
      <c r="H130" s="62"/>
      <c r="I130" s="63"/>
      <c r="J130" s="64">
        <v>0.312</v>
      </c>
      <c r="K130" s="167"/>
      <c r="L130" s="167"/>
      <c r="M130" s="167"/>
      <c r="N130" s="167"/>
      <c r="O130" s="167"/>
      <c r="P130" s="171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spans="1:26" s="91" customFormat="1" ht="13.5" customHeight="1" x14ac:dyDescent="0.25">
      <c r="A131" s="54"/>
      <c r="B131" s="182"/>
      <c r="C131" s="185"/>
      <c r="D131" s="185"/>
      <c r="E131" s="167"/>
      <c r="F131" s="60" t="s">
        <v>91</v>
      </c>
      <c r="G131" s="61">
        <f>+E127*0.4</f>
        <v>0.2</v>
      </c>
      <c r="H131" s="62"/>
      <c r="I131" s="63"/>
      <c r="J131" s="64">
        <v>0.32200000000000001</v>
      </c>
      <c r="K131" s="167"/>
      <c r="L131" s="167"/>
      <c r="M131" s="167"/>
      <c r="N131" s="167"/>
      <c r="O131" s="167"/>
      <c r="P131" s="171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spans="1:26" s="91" customFormat="1" ht="13.5" customHeight="1" x14ac:dyDescent="0.25">
      <c r="A132" s="54"/>
      <c r="B132" s="182"/>
      <c r="C132" s="173">
        <f>+C79</f>
        <v>10.199999999999998</v>
      </c>
      <c r="D132" s="174">
        <f>+D79</f>
        <v>0.255</v>
      </c>
      <c r="E132" s="167"/>
      <c r="F132" s="60" t="s">
        <v>29</v>
      </c>
      <c r="G132" s="61">
        <f>+E127*0.5</f>
        <v>0.25</v>
      </c>
      <c r="H132" s="62"/>
      <c r="I132" s="63"/>
      <c r="J132" s="64">
        <v>0.41199999999999998</v>
      </c>
      <c r="K132" s="167"/>
      <c r="L132" s="167"/>
      <c r="M132" s="167"/>
      <c r="N132" s="167"/>
      <c r="O132" s="167"/>
      <c r="P132" s="171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spans="1:26" s="91" customFormat="1" ht="13.5" customHeight="1" x14ac:dyDescent="0.25">
      <c r="A133" s="54"/>
      <c r="B133" s="182"/>
      <c r="C133" s="167"/>
      <c r="D133" s="167"/>
      <c r="E133" s="167"/>
      <c r="F133" s="60" t="s">
        <v>92</v>
      </c>
      <c r="G133" s="61">
        <f>+E127*0.6</f>
        <v>0.3</v>
      </c>
      <c r="H133" s="62"/>
      <c r="I133" s="63"/>
      <c r="J133" s="64">
        <v>0.41899999999999998</v>
      </c>
      <c r="K133" s="167"/>
      <c r="L133" s="167"/>
      <c r="M133" s="167"/>
      <c r="N133" s="167"/>
      <c r="O133" s="167"/>
      <c r="P133" s="171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spans="1:26" s="91" customFormat="1" ht="13.5" customHeight="1" x14ac:dyDescent="0.25">
      <c r="A134" s="54"/>
      <c r="B134" s="182"/>
      <c r="C134" s="167"/>
      <c r="D134" s="167"/>
      <c r="E134" s="167"/>
      <c r="F134" s="60" t="s">
        <v>93</v>
      </c>
      <c r="G134" s="61">
        <f>+E127*0.7</f>
        <v>0.35</v>
      </c>
      <c r="H134" s="62"/>
      <c r="I134" s="63"/>
      <c r="J134" s="64">
        <v>0.45</v>
      </c>
      <c r="K134" s="167"/>
      <c r="L134" s="167"/>
      <c r="M134" s="167"/>
      <c r="N134" s="167"/>
      <c r="O134" s="167"/>
      <c r="P134" s="171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spans="1:26" s="91" customFormat="1" ht="13.5" customHeight="1" x14ac:dyDescent="0.25">
      <c r="A135" s="54"/>
      <c r="B135" s="182"/>
      <c r="C135" s="167"/>
      <c r="D135" s="167"/>
      <c r="E135" s="167"/>
      <c r="F135" s="60" t="s">
        <v>94</v>
      </c>
      <c r="G135" s="61">
        <f>+E127*0.8</f>
        <v>0.4</v>
      </c>
      <c r="H135" s="62"/>
      <c r="I135" s="63"/>
      <c r="J135" s="64">
        <v>0.51500000000000001</v>
      </c>
      <c r="K135" s="167"/>
      <c r="L135" s="167"/>
      <c r="M135" s="167"/>
      <c r="N135" s="167"/>
      <c r="O135" s="167"/>
      <c r="P135" s="171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spans="1:26" s="91" customFormat="1" ht="13.5" customHeight="1" x14ac:dyDescent="0.25">
      <c r="A136" s="54"/>
      <c r="B136" s="182"/>
      <c r="C136" s="167"/>
      <c r="D136" s="167"/>
      <c r="E136" s="167"/>
      <c r="F136" s="60" t="s">
        <v>95</v>
      </c>
      <c r="G136" s="61">
        <f>+E127*0.9</f>
        <v>0.45</v>
      </c>
      <c r="H136" s="62"/>
      <c r="I136" s="63"/>
      <c r="J136" s="64">
        <v>0.47499999999999998</v>
      </c>
      <c r="K136" s="167"/>
      <c r="L136" s="167"/>
      <c r="M136" s="167"/>
      <c r="N136" s="167"/>
      <c r="O136" s="167"/>
      <c r="P136" s="171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spans="1:26" s="91" customFormat="1" ht="15.75" thickBot="1" x14ac:dyDescent="0.3">
      <c r="A137" s="54"/>
      <c r="B137" s="183"/>
      <c r="C137" s="168"/>
      <c r="D137" s="168"/>
      <c r="E137" s="168"/>
      <c r="F137" s="65" t="s">
        <v>30</v>
      </c>
      <c r="G137" s="65">
        <f>+E127</f>
        <v>0.5</v>
      </c>
      <c r="H137" s="66"/>
      <c r="I137" s="67"/>
      <c r="J137" s="68">
        <v>0.45</v>
      </c>
      <c r="K137" s="168"/>
      <c r="L137" s="168"/>
      <c r="M137" s="168"/>
      <c r="N137" s="168"/>
      <c r="O137" s="168"/>
      <c r="P137" s="172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spans="1:26" s="3" customFormat="1" ht="12.75" x14ac:dyDescent="0.2">
      <c r="A138" s="8"/>
      <c r="B138" s="154" t="s">
        <v>104</v>
      </c>
      <c r="C138" s="154"/>
      <c r="D138" s="154"/>
      <c r="E138" s="154"/>
      <c r="F138" s="154"/>
      <c r="G138" s="154"/>
      <c r="H138" s="154"/>
      <c r="I138" s="154"/>
      <c r="J138" s="154"/>
      <c r="K138" s="13">
        <f>ROUND(+M138/L138,3)</f>
        <v>0.26700000000000002</v>
      </c>
      <c r="L138" s="12">
        <f>SUM(L19:L137)</f>
        <v>2.4240000000000004</v>
      </c>
      <c r="M138" s="11">
        <f>SUM(M19:M137)</f>
        <v>0.64670000000000005</v>
      </c>
      <c r="N138" s="9">
        <f>ROUND(SUM(N19:N137),0)</f>
        <v>100</v>
      </c>
      <c r="O138" s="156" t="s">
        <v>31</v>
      </c>
      <c r="P138" s="158"/>
    </row>
    <row r="139" spans="1:26" s="3" customFormat="1" ht="15" customHeight="1" thickBot="1" x14ac:dyDescent="0.25">
      <c r="A139" s="8"/>
      <c r="B139" s="155"/>
      <c r="C139" s="155"/>
      <c r="D139" s="155"/>
      <c r="E139" s="155"/>
      <c r="F139" s="155"/>
      <c r="G139" s="155"/>
      <c r="H139" s="155"/>
      <c r="I139" s="155"/>
      <c r="J139" s="155"/>
      <c r="K139" s="10" t="s">
        <v>32</v>
      </c>
      <c r="L139" s="10" t="s">
        <v>48</v>
      </c>
      <c r="M139" s="10" t="s">
        <v>100</v>
      </c>
      <c r="N139" s="10" t="s">
        <v>33</v>
      </c>
      <c r="O139" s="157"/>
      <c r="P139" s="159"/>
    </row>
    <row r="140" spans="1:26" ht="15" customHeight="1" thickBot="1" x14ac:dyDescent="0.3">
      <c r="A140" s="93"/>
      <c r="B140" s="160" t="s">
        <v>96</v>
      </c>
      <c r="C140" s="161"/>
      <c r="D140" s="161"/>
      <c r="E140" s="161"/>
      <c r="F140" s="162"/>
      <c r="G140" s="160" t="s">
        <v>97</v>
      </c>
      <c r="H140" s="161"/>
      <c r="I140" s="161"/>
      <c r="J140" s="161"/>
      <c r="K140" s="162"/>
      <c r="L140" s="163" t="s">
        <v>49</v>
      </c>
      <c r="M140" s="164"/>
      <c r="N140" s="164"/>
      <c r="O140" s="164"/>
      <c r="P140" s="165"/>
    </row>
    <row r="141" spans="1:26" ht="15" customHeight="1" x14ac:dyDescent="0.25">
      <c r="A141" s="93"/>
      <c r="B141" s="124"/>
      <c r="C141" s="125"/>
      <c r="D141" s="125"/>
      <c r="E141" s="125"/>
      <c r="F141" s="126"/>
      <c r="G141" s="124"/>
      <c r="H141" s="125"/>
      <c r="I141" s="125"/>
      <c r="J141" s="125"/>
      <c r="K141" s="126"/>
      <c r="L141" s="133" t="s">
        <v>98</v>
      </c>
      <c r="M141" s="134"/>
      <c r="N141" s="134"/>
      <c r="O141" s="135">
        <f>+AVERAGE(E18:E118)</f>
        <v>0.19655</v>
      </c>
      <c r="P141" s="136"/>
    </row>
    <row r="142" spans="1:26" ht="15" customHeight="1" thickBot="1" x14ac:dyDescent="0.3">
      <c r="A142" s="93"/>
      <c r="B142" s="127"/>
      <c r="C142" s="128"/>
      <c r="D142" s="128"/>
      <c r="E142" s="128"/>
      <c r="F142" s="129"/>
      <c r="G142" s="127"/>
      <c r="H142" s="128"/>
      <c r="I142" s="128"/>
      <c r="J142" s="128"/>
      <c r="K142" s="129"/>
      <c r="L142" s="137" t="s">
        <v>99</v>
      </c>
      <c r="M142" s="138"/>
      <c r="N142" s="138"/>
      <c r="O142" s="306">
        <f>MAX(E18:E118)</f>
        <v>0.5</v>
      </c>
      <c r="P142" s="307"/>
    </row>
    <row r="143" spans="1:26" ht="18.600000000000001" customHeight="1" x14ac:dyDescent="0.25">
      <c r="A143" s="94"/>
      <c r="B143" s="127"/>
      <c r="C143" s="128"/>
      <c r="D143" s="128"/>
      <c r="E143" s="128"/>
      <c r="F143" s="129"/>
      <c r="G143" s="127"/>
      <c r="H143" s="128"/>
      <c r="I143" s="128"/>
      <c r="J143" s="128"/>
      <c r="K143" s="129"/>
      <c r="L143" s="141"/>
      <c r="M143" s="142"/>
      <c r="N143" s="142"/>
      <c r="O143" s="142"/>
      <c r="P143" s="143"/>
    </row>
    <row r="144" spans="1:26" ht="42" customHeight="1" x14ac:dyDescent="0.25">
      <c r="A144" s="95"/>
      <c r="B144" s="127"/>
      <c r="C144" s="128"/>
      <c r="D144" s="128"/>
      <c r="E144" s="128"/>
      <c r="F144" s="129"/>
      <c r="G144" s="127"/>
      <c r="H144" s="128"/>
      <c r="I144" s="128"/>
      <c r="J144" s="128"/>
      <c r="K144" s="129"/>
      <c r="L144" s="144"/>
      <c r="M144" s="145"/>
      <c r="N144" s="145"/>
      <c r="O144" s="145"/>
      <c r="P144" s="146"/>
    </row>
    <row r="145" spans="1:16" ht="15" customHeight="1" thickBot="1" x14ac:dyDescent="0.3">
      <c r="A145" s="93"/>
      <c r="B145" s="127"/>
      <c r="C145" s="128"/>
      <c r="D145" s="128"/>
      <c r="E145" s="128"/>
      <c r="F145" s="129"/>
      <c r="G145" s="127"/>
      <c r="H145" s="128"/>
      <c r="I145" s="128"/>
      <c r="J145" s="128"/>
      <c r="K145" s="129"/>
      <c r="L145" s="147"/>
      <c r="M145" s="148"/>
      <c r="N145" s="148"/>
      <c r="O145" s="148"/>
      <c r="P145" s="149"/>
    </row>
    <row r="146" spans="1:16" ht="22.5" customHeight="1" thickBot="1" x14ac:dyDescent="0.3">
      <c r="A146" s="93"/>
      <c r="B146" s="127"/>
      <c r="C146" s="128"/>
      <c r="D146" s="128"/>
      <c r="E146" s="128"/>
      <c r="F146" s="129"/>
      <c r="G146" s="127"/>
      <c r="H146" s="128"/>
      <c r="I146" s="128"/>
      <c r="J146" s="128"/>
      <c r="K146" s="129"/>
      <c r="L146" s="150" t="s">
        <v>34</v>
      </c>
      <c r="M146" s="151"/>
      <c r="N146" s="151"/>
      <c r="O146" s="151"/>
      <c r="P146" s="90">
        <v>6.97</v>
      </c>
    </row>
    <row r="147" spans="1:16" ht="32.25" customHeight="1" thickBot="1" x14ac:dyDescent="0.3">
      <c r="A147" s="93"/>
      <c r="B147" s="130"/>
      <c r="C147" s="131"/>
      <c r="D147" s="131"/>
      <c r="E147" s="131"/>
      <c r="F147" s="132"/>
      <c r="G147" s="130"/>
      <c r="H147" s="131"/>
      <c r="I147" s="131"/>
      <c r="J147" s="131"/>
      <c r="K147" s="132"/>
      <c r="L147" s="152" t="s">
        <v>103</v>
      </c>
      <c r="M147" s="153"/>
      <c r="N147" s="153"/>
      <c r="O147" s="153"/>
      <c r="P147" s="90" t="s">
        <v>111</v>
      </c>
    </row>
    <row r="148" spans="1:16" ht="23.45" customHeight="1" thickBot="1" x14ac:dyDescent="0.3">
      <c r="A148" s="5"/>
      <c r="B148" s="316"/>
      <c r="C148" s="316"/>
      <c r="D148" s="316"/>
      <c r="E148" s="316"/>
      <c r="F148" s="316"/>
      <c r="G148" s="316"/>
      <c r="H148" s="316"/>
      <c r="I148" s="316"/>
      <c r="J148" s="316"/>
      <c r="K148" s="316"/>
      <c r="L148" s="316"/>
      <c r="M148" s="316"/>
      <c r="N148" s="316"/>
      <c r="O148" s="316"/>
      <c r="P148" s="316"/>
    </row>
    <row r="149" spans="1:16" ht="15.75" thickBot="1" x14ac:dyDescent="0.3">
      <c r="A149" s="114" t="s">
        <v>35</v>
      </c>
      <c r="B149" s="317"/>
      <c r="C149" s="317"/>
      <c r="D149" s="317"/>
      <c r="E149" s="317"/>
      <c r="F149" s="317"/>
      <c r="G149" s="317"/>
      <c r="H149" s="317"/>
      <c r="I149" s="317"/>
      <c r="J149" s="317"/>
      <c r="K149" s="317"/>
      <c r="L149" s="317"/>
      <c r="M149" s="317"/>
      <c r="N149" s="317"/>
      <c r="O149" s="317"/>
      <c r="P149" s="318"/>
    </row>
    <row r="150" spans="1:16" ht="159" customHeight="1" thickBot="1" x14ac:dyDescent="0.3">
      <c r="A150" s="4"/>
      <c r="B150" s="117"/>
      <c r="C150" s="118"/>
      <c r="D150" s="118"/>
      <c r="E150" s="118"/>
      <c r="F150" s="119"/>
      <c r="G150" s="117"/>
      <c r="H150" s="118"/>
      <c r="I150" s="118"/>
      <c r="J150" s="118"/>
      <c r="K150" s="119"/>
      <c r="L150" s="117"/>
      <c r="M150" s="118"/>
      <c r="N150" s="118"/>
      <c r="O150" s="118"/>
      <c r="P150" s="119"/>
    </row>
    <row r="151" spans="1:16" ht="21.75" customHeight="1" thickBot="1" x14ac:dyDescent="0.3">
      <c r="A151" s="4"/>
      <c r="B151" s="303" t="s">
        <v>120</v>
      </c>
      <c r="C151" s="304"/>
      <c r="D151" s="304"/>
      <c r="E151" s="304"/>
      <c r="F151" s="305"/>
      <c r="G151" s="303" t="s">
        <v>106</v>
      </c>
      <c r="H151" s="304"/>
      <c r="I151" s="304"/>
      <c r="J151" s="304"/>
      <c r="K151" s="304"/>
      <c r="L151" s="304"/>
      <c r="M151" s="304"/>
      <c r="N151" s="304"/>
      <c r="O151" s="304"/>
      <c r="P151" s="305"/>
    </row>
    <row r="152" spans="1:16" s="7" customFormat="1" ht="16.899999999999999" customHeight="1" thickBot="1" x14ac:dyDescent="0.3">
      <c r="A152" s="6"/>
      <c r="B152" s="309"/>
      <c r="C152" s="309"/>
      <c r="D152" s="309"/>
      <c r="E152" s="309"/>
      <c r="F152" s="309"/>
      <c r="G152" s="309"/>
      <c r="H152" s="309"/>
      <c r="I152" s="309"/>
      <c r="J152" s="309"/>
      <c r="K152" s="309"/>
      <c r="L152" s="309"/>
      <c r="M152" s="309"/>
      <c r="N152" s="309"/>
      <c r="O152" s="309"/>
      <c r="P152" s="310"/>
    </row>
    <row r="153" spans="1:16" s="3" customFormat="1" ht="15.75" customHeight="1" thickBot="1" x14ac:dyDescent="0.25">
      <c r="A153" s="311" t="s">
        <v>36</v>
      </c>
      <c r="B153" s="312"/>
      <c r="C153" s="313"/>
      <c r="D153" s="314"/>
      <c r="E153" s="312"/>
      <c r="F153" s="312"/>
      <c r="G153" s="312"/>
      <c r="H153" s="312"/>
      <c r="I153" s="313"/>
      <c r="J153" s="314" t="s">
        <v>37</v>
      </c>
      <c r="K153" s="313"/>
      <c r="L153" s="314"/>
      <c r="M153" s="312"/>
      <c r="N153" s="312"/>
      <c r="O153" s="312"/>
      <c r="P153" s="315"/>
    </row>
  </sheetData>
  <mergeCells count="304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M84:M88"/>
    <mergeCell ref="N84:N88"/>
    <mergeCell ref="O84:O88"/>
    <mergeCell ref="P84:P88"/>
    <mergeCell ref="B89:B93"/>
    <mergeCell ref="C89:C93"/>
    <mergeCell ref="D89:D93"/>
    <mergeCell ref="E89:E93"/>
    <mergeCell ref="K89:K93"/>
    <mergeCell ref="L89:L93"/>
    <mergeCell ref="M89:M93"/>
    <mergeCell ref="N89:N93"/>
    <mergeCell ref="O89:O93"/>
    <mergeCell ref="P89:P93"/>
    <mergeCell ref="B94:B98"/>
    <mergeCell ref="C94:C98"/>
    <mergeCell ref="D94:D98"/>
    <mergeCell ref="E94:E98"/>
    <mergeCell ref="K94:K98"/>
    <mergeCell ref="L94:L98"/>
    <mergeCell ref="M94:M98"/>
    <mergeCell ref="N94:N98"/>
    <mergeCell ref="O94:O98"/>
    <mergeCell ref="P94:P98"/>
    <mergeCell ref="B99:B103"/>
    <mergeCell ref="C99:C103"/>
    <mergeCell ref="D99:D103"/>
    <mergeCell ref="E99:E103"/>
    <mergeCell ref="K99:K103"/>
    <mergeCell ref="L99:L103"/>
    <mergeCell ref="M99:M103"/>
    <mergeCell ref="N99:N103"/>
    <mergeCell ref="O99:O103"/>
    <mergeCell ref="P99:P103"/>
    <mergeCell ref="B104:B108"/>
    <mergeCell ref="C104:C108"/>
    <mergeCell ref="D104:D108"/>
    <mergeCell ref="E104:E108"/>
    <mergeCell ref="K104:K108"/>
    <mergeCell ref="L104:L108"/>
    <mergeCell ref="M104:M108"/>
    <mergeCell ref="N104:N108"/>
    <mergeCell ref="O104:O108"/>
    <mergeCell ref="P104:P108"/>
    <mergeCell ref="B109:B113"/>
    <mergeCell ref="C109:C113"/>
    <mergeCell ref="D109:D113"/>
    <mergeCell ref="E109:E113"/>
    <mergeCell ref="K109:K113"/>
    <mergeCell ref="L109:L113"/>
    <mergeCell ref="M114:M118"/>
    <mergeCell ref="N114:N118"/>
    <mergeCell ref="O114:O118"/>
    <mergeCell ref="P114:P118"/>
    <mergeCell ref="B119:B124"/>
    <mergeCell ref="C119:P124"/>
    <mergeCell ref="M109:M113"/>
    <mergeCell ref="N109:N113"/>
    <mergeCell ref="O109:O113"/>
    <mergeCell ref="P109:P113"/>
    <mergeCell ref="B114:B118"/>
    <mergeCell ref="C114:C118"/>
    <mergeCell ref="D114:D118"/>
    <mergeCell ref="E114:E118"/>
    <mergeCell ref="K114:K118"/>
    <mergeCell ref="L114:L118"/>
    <mergeCell ref="C125:H125"/>
    <mergeCell ref="I125:I126"/>
    <mergeCell ref="K125:P125"/>
    <mergeCell ref="C126:H126"/>
    <mergeCell ref="K126:P126"/>
    <mergeCell ref="B127:B137"/>
    <mergeCell ref="C127:C131"/>
    <mergeCell ref="D127:D131"/>
    <mergeCell ref="E127:E137"/>
    <mergeCell ref="K127:K137"/>
    <mergeCell ref="B138:J139"/>
    <mergeCell ref="O138:O139"/>
    <mergeCell ref="P138:P139"/>
    <mergeCell ref="B140:F140"/>
    <mergeCell ref="G140:K140"/>
    <mergeCell ref="L140:P140"/>
    <mergeCell ref="L127:L137"/>
    <mergeCell ref="M127:M137"/>
    <mergeCell ref="N127:N137"/>
    <mergeCell ref="O127:O137"/>
    <mergeCell ref="P127:P137"/>
    <mergeCell ref="C132:C137"/>
    <mergeCell ref="D132:D137"/>
    <mergeCell ref="B141:F147"/>
    <mergeCell ref="G141:K147"/>
    <mergeCell ref="L141:N141"/>
    <mergeCell ref="O141:P141"/>
    <mergeCell ref="L142:N142"/>
    <mergeCell ref="O142:P142"/>
    <mergeCell ref="L143:P145"/>
    <mergeCell ref="L146:O146"/>
    <mergeCell ref="L147:O147"/>
    <mergeCell ref="B152:P152"/>
    <mergeCell ref="A153:C153"/>
    <mergeCell ref="D153:I153"/>
    <mergeCell ref="J153:K153"/>
    <mergeCell ref="L153:P153"/>
    <mergeCell ref="B148:P148"/>
    <mergeCell ref="A149:P149"/>
    <mergeCell ref="B150:F150"/>
    <mergeCell ref="G150:K150"/>
    <mergeCell ref="L150:P150"/>
    <mergeCell ref="B151:F151"/>
    <mergeCell ref="G151:P151"/>
  </mergeCells>
  <printOptions horizontalCentered="1"/>
  <pageMargins left="0.35433070866141736" right="0.23622047244094491" top="0.74803149606299213" bottom="0.74803149606299213" header="0.19685039370078741" footer="0.31496062992125984"/>
  <pageSetup scale="61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7</vt:i4>
      </vt:variant>
    </vt:vector>
  </HeadingPairs>
  <TitlesOfParts>
    <vt:vector size="12" baseType="lpstr">
      <vt:lpstr>Planta y sección típica</vt:lpstr>
      <vt:lpstr>Aforo 1</vt:lpstr>
      <vt:lpstr>Aforo 2</vt:lpstr>
      <vt:lpstr>Aforo 3</vt:lpstr>
      <vt:lpstr>Aforo 4</vt:lpstr>
      <vt:lpstr>'Aforo 2'!Área_de_impresión</vt:lpstr>
      <vt:lpstr>'Aforo 3'!Área_de_impresión</vt:lpstr>
      <vt:lpstr>'Aforo 4'!Área_de_impresión</vt:lpstr>
      <vt:lpstr>'Aforo 1'!Títulos_a_imprimir</vt:lpstr>
      <vt:lpstr>'Aforo 2'!Títulos_a_imprimir</vt:lpstr>
      <vt:lpstr>'Aforo 3'!Títulos_a_imprimir</vt:lpstr>
      <vt:lpstr>'Aforo 4'!Títulos_a_imprimir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ALZATE</dc:creator>
  <cp:lastModifiedBy>MATEO ALZATE</cp:lastModifiedBy>
  <dcterms:created xsi:type="dcterms:W3CDTF">2019-04-11T19:24:47Z</dcterms:created>
  <dcterms:modified xsi:type="dcterms:W3CDTF">2019-05-17T15:35:34Z</dcterms:modified>
</cp:coreProperties>
</file>