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22" r:id="rId2"/>
    <sheet name="Aforo 2" sheetId="123" r:id="rId3"/>
    <sheet name="Aforo 3" sheetId="124" r:id="rId4"/>
    <sheet name="Aforo 4" sheetId="125" r:id="rId5"/>
  </sheets>
  <definedNames>
    <definedName name="_xlnm.Print_Area" localSheetId="3">'Aforo 3'!$B$1:$P$118</definedName>
    <definedName name="_xlnm.Print_Area" localSheetId="4">'Aforo 4'!$B$1:$P$153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2" i="125" l="1"/>
  <c r="O141" i="125"/>
  <c r="G136" i="125"/>
  <c r="G135" i="125"/>
  <c r="G132" i="125"/>
  <c r="D132" i="125"/>
  <c r="G130" i="125"/>
  <c r="G129" i="125"/>
  <c r="G128" i="125"/>
  <c r="K127" i="125"/>
  <c r="E127" i="125"/>
  <c r="G134" i="125" s="1"/>
  <c r="D127" i="125"/>
  <c r="G118" i="125"/>
  <c r="G117" i="125"/>
  <c r="G116" i="125"/>
  <c r="G115" i="125"/>
  <c r="K114" i="125"/>
  <c r="G113" i="125"/>
  <c r="G112" i="125"/>
  <c r="G111" i="125"/>
  <c r="G110" i="125"/>
  <c r="K109" i="125"/>
  <c r="G108" i="125"/>
  <c r="G107" i="125"/>
  <c r="G106" i="125"/>
  <c r="G105" i="125"/>
  <c r="K104" i="125"/>
  <c r="G103" i="125"/>
  <c r="G102" i="125"/>
  <c r="G101" i="125"/>
  <c r="G100" i="125"/>
  <c r="K99" i="125"/>
  <c r="G98" i="125"/>
  <c r="G97" i="125"/>
  <c r="G96" i="125"/>
  <c r="G95" i="125"/>
  <c r="K94" i="125"/>
  <c r="G93" i="125"/>
  <c r="G92" i="125"/>
  <c r="G91" i="125"/>
  <c r="G90" i="125"/>
  <c r="K89" i="125"/>
  <c r="G88" i="125"/>
  <c r="G87" i="125"/>
  <c r="G86" i="125"/>
  <c r="G85" i="125"/>
  <c r="K84" i="125"/>
  <c r="G83" i="125"/>
  <c r="G82" i="125"/>
  <c r="G81" i="125"/>
  <c r="G80" i="125"/>
  <c r="K79" i="125"/>
  <c r="G78" i="125"/>
  <c r="G77" i="125"/>
  <c r="G76" i="125"/>
  <c r="G75" i="125"/>
  <c r="K74" i="125"/>
  <c r="G73" i="125"/>
  <c r="G72" i="125"/>
  <c r="G71" i="125"/>
  <c r="G70" i="125"/>
  <c r="K69" i="125"/>
  <c r="G68" i="125"/>
  <c r="G67" i="125"/>
  <c r="G66" i="125"/>
  <c r="G65" i="125"/>
  <c r="K64" i="125"/>
  <c r="G63" i="125"/>
  <c r="G62" i="125"/>
  <c r="G61" i="125"/>
  <c r="G60" i="125"/>
  <c r="K59" i="125"/>
  <c r="G58" i="125"/>
  <c r="G57" i="125"/>
  <c r="G56" i="125"/>
  <c r="G55" i="125"/>
  <c r="G53" i="125"/>
  <c r="G52" i="125"/>
  <c r="G51" i="125"/>
  <c r="G50" i="125"/>
  <c r="K49" i="125"/>
  <c r="G48" i="125"/>
  <c r="G47" i="125"/>
  <c r="G46" i="125"/>
  <c r="G45" i="125"/>
  <c r="K44" i="125"/>
  <c r="G43" i="125"/>
  <c r="G42" i="125"/>
  <c r="G41" i="125"/>
  <c r="G40" i="125"/>
  <c r="K39" i="125"/>
  <c r="G38" i="125"/>
  <c r="G37" i="125"/>
  <c r="G36" i="125"/>
  <c r="G35" i="125"/>
  <c r="K34" i="125"/>
  <c r="G33" i="125"/>
  <c r="G32" i="125"/>
  <c r="G31" i="125"/>
  <c r="G30" i="125"/>
  <c r="K29" i="125"/>
  <c r="G28" i="125"/>
  <c r="G27" i="125"/>
  <c r="G26" i="125"/>
  <c r="G25" i="125"/>
  <c r="K24" i="125"/>
  <c r="C24" i="125"/>
  <c r="L24" i="125" s="1"/>
  <c r="M24" i="125" s="1"/>
  <c r="G23" i="125"/>
  <c r="G22" i="125"/>
  <c r="G21" i="125"/>
  <c r="G20" i="125"/>
  <c r="K19" i="125"/>
  <c r="M19" i="125" s="1"/>
  <c r="C19" i="125"/>
  <c r="L19" i="125" s="1"/>
  <c r="C18" i="125"/>
  <c r="C29" i="125" l="1"/>
  <c r="G131" i="125"/>
  <c r="G133" i="125"/>
  <c r="G137" i="125"/>
  <c r="L29" i="125" l="1"/>
  <c r="C34" i="125"/>
  <c r="C39" i="125" l="1"/>
  <c r="L34" i="125"/>
  <c r="M34" i="125" s="1"/>
  <c r="M29" i="125"/>
  <c r="C44" i="125" l="1"/>
  <c r="L39" i="125"/>
  <c r="L44" i="125" l="1"/>
  <c r="M44" i="125" s="1"/>
  <c r="C49" i="125"/>
  <c r="M39" i="125"/>
  <c r="C127" i="125" l="1"/>
  <c r="L49" i="125"/>
  <c r="C54" i="125"/>
  <c r="M49" i="125" l="1"/>
  <c r="C59" i="125"/>
  <c r="C132" i="125"/>
  <c r="L127" i="125" s="1"/>
  <c r="M127" i="125" s="1"/>
  <c r="C64" i="125" l="1"/>
  <c r="L59" i="125"/>
  <c r="M59" i="125" s="1"/>
  <c r="L64" i="125" l="1"/>
  <c r="C69" i="125"/>
  <c r="L69" i="125" l="1"/>
  <c r="M69" i="125" s="1"/>
  <c r="C74" i="125"/>
  <c r="M64" i="125"/>
  <c r="C79" i="125" l="1"/>
  <c r="L74" i="125"/>
  <c r="M74" i="125" l="1"/>
  <c r="L79" i="125"/>
  <c r="M79" i="125" s="1"/>
  <c r="C84" i="125"/>
  <c r="L84" i="125" l="1"/>
  <c r="M84" i="125" s="1"/>
  <c r="C89" i="125"/>
  <c r="L89" i="125" l="1"/>
  <c r="C94" i="125"/>
  <c r="C99" i="125" l="1"/>
  <c r="L94" i="125"/>
  <c r="M94" i="125" s="1"/>
  <c r="M89" i="125"/>
  <c r="C104" i="125" l="1"/>
  <c r="L99" i="125"/>
  <c r="M99" i="125" s="1"/>
  <c r="L104" i="125" l="1"/>
  <c r="M104" i="125" s="1"/>
  <c r="C109" i="125"/>
  <c r="L109" i="125" l="1"/>
  <c r="M109" i="125" s="1"/>
  <c r="C114" i="125"/>
  <c r="L114" i="125" s="1"/>
  <c r="M114" i="125" l="1"/>
  <c r="L138" i="125"/>
  <c r="M138" i="125" l="1"/>
  <c r="K138" i="125" l="1"/>
  <c r="N24" i="125"/>
  <c r="N19" i="125"/>
  <c r="N29" i="125"/>
  <c r="N34" i="125"/>
  <c r="N39" i="125"/>
  <c r="N44" i="125"/>
  <c r="N49" i="125"/>
  <c r="N127" i="125"/>
  <c r="N59" i="125"/>
  <c r="N64" i="125"/>
  <c r="N69" i="125"/>
  <c r="N79" i="125"/>
  <c r="N74" i="125"/>
  <c r="N84" i="125"/>
  <c r="N89" i="125"/>
  <c r="N94" i="125"/>
  <c r="N99" i="125"/>
  <c r="N104" i="125"/>
  <c r="N109" i="125"/>
  <c r="N114" i="125"/>
  <c r="N138" i="125" l="1"/>
  <c r="O107" i="124" l="1"/>
  <c r="O106" i="124"/>
  <c r="G102" i="124"/>
  <c r="G101" i="124"/>
  <c r="G100" i="124"/>
  <c r="G99" i="124"/>
  <c r="G98" i="124"/>
  <c r="G97" i="124"/>
  <c r="D97" i="124"/>
  <c r="G96" i="124"/>
  <c r="G95" i="124"/>
  <c r="G94" i="124"/>
  <c r="G93" i="124"/>
  <c r="K92" i="124"/>
  <c r="D92" i="124"/>
  <c r="G83" i="124"/>
  <c r="G82" i="124"/>
  <c r="G81" i="124"/>
  <c r="G80" i="124"/>
  <c r="K79" i="124"/>
  <c r="G78" i="124"/>
  <c r="G77" i="124"/>
  <c r="G76" i="124"/>
  <c r="G75" i="124"/>
  <c r="K74" i="124"/>
  <c r="G73" i="124"/>
  <c r="G72" i="124"/>
  <c r="G71" i="124"/>
  <c r="G70" i="124"/>
  <c r="K69" i="124"/>
  <c r="G68" i="124"/>
  <c r="G67" i="124"/>
  <c r="G66" i="124"/>
  <c r="G65" i="124"/>
  <c r="K64" i="124"/>
  <c r="G63" i="124"/>
  <c r="G62" i="124"/>
  <c r="G61" i="124"/>
  <c r="G60" i="124"/>
  <c r="K59" i="124"/>
  <c r="G58" i="124"/>
  <c r="G57" i="124"/>
  <c r="G56" i="124"/>
  <c r="G55" i="124"/>
  <c r="K54" i="124"/>
  <c r="G53" i="124"/>
  <c r="G52" i="124"/>
  <c r="G51" i="124"/>
  <c r="G50" i="124"/>
  <c r="K49" i="124"/>
  <c r="G48" i="124"/>
  <c r="G47" i="124"/>
  <c r="G46" i="124"/>
  <c r="G45" i="124"/>
  <c r="K44" i="124"/>
  <c r="G43" i="124"/>
  <c r="G42" i="124"/>
  <c r="G41" i="124"/>
  <c r="G40" i="124"/>
  <c r="G38" i="124"/>
  <c r="G37" i="124"/>
  <c r="G36" i="124"/>
  <c r="G35" i="124"/>
  <c r="K34" i="124"/>
  <c r="G33" i="124"/>
  <c r="G32" i="124"/>
  <c r="G31" i="124"/>
  <c r="G30" i="124"/>
  <c r="K29" i="124"/>
  <c r="G28" i="124"/>
  <c r="G27" i="124"/>
  <c r="G26" i="124"/>
  <c r="G25" i="124"/>
  <c r="K24" i="124"/>
  <c r="G23" i="124"/>
  <c r="G22" i="124"/>
  <c r="G21" i="124"/>
  <c r="G20" i="124"/>
  <c r="K19" i="124"/>
  <c r="C18" i="124"/>
  <c r="C19" i="124" s="1"/>
  <c r="C24" i="124" l="1"/>
  <c r="L19" i="124"/>
  <c r="M19" i="124" l="1"/>
  <c r="L24" i="124"/>
  <c r="M24" i="124" s="1"/>
  <c r="C29" i="124"/>
  <c r="L29" i="124" l="1"/>
  <c r="M29" i="124" s="1"/>
  <c r="C34" i="124"/>
  <c r="C39" i="124" l="1"/>
  <c r="L34" i="124"/>
  <c r="M34" i="124" s="1"/>
  <c r="C92" i="124" l="1"/>
  <c r="C97" i="124"/>
  <c r="L92" i="124" s="1"/>
  <c r="M92" i="124" s="1"/>
  <c r="C44" i="124"/>
  <c r="L44" i="124" l="1"/>
  <c r="M44" i="124" s="1"/>
  <c r="C49" i="124"/>
  <c r="L49" i="124" l="1"/>
  <c r="C54" i="124"/>
  <c r="C59" i="124" l="1"/>
  <c r="L54" i="124"/>
  <c r="M54" i="124" s="1"/>
  <c r="M49" i="124"/>
  <c r="C64" i="124" l="1"/>
  <c r="L59" i="124"/>
  <c r="M59" i="124" l="1"/>
  <c r="L64" i="124"/>
  <c r="M64" i="124" s="1"/>
  <c r="C69" i="124"/>
  <c r="L69" i="124" l="1"/>
  <c r="M69" i="124" s="1"/>
  <c r="C74" i="124"/>
  <c r="C79" i="124" l="1"/>
  <c r="L79" i="124" s="1"/>
  <c r="M79" i="124" s="1"/>
  <c r="L74" i="124"/>
  <c r="M74" i="124" l="1"/>
  <c r="L103" i="124"/>
  <c r="M103" i="124"/>
  <c r="K103" i="124" l="1"/>
  <c r="N24" i="124"/>
  <c r="N19" i="124"/>
  <c r="N29" i="124"/>
  <c r="N34" i="124"/>
  <c r="N92" i="124"/>
  <c r="N44" i="124"/>
  <c r="N54" i="124"/>
  <c r="N49" i="124"/>
  <c r="N59" i="124"/>
  <c r="N64" i="124"/>
  <c r="N69" i="124"/>
  <c r="N79" i="124"/>
  <c r="N74" i="124"/>
  <c r="N103" i="124" l="1"/>
  <c r="O97" i="123" l="1"/>
  <c r="O96" i="123"/>
  <c r="G91" i="123"/>
  <c r="G87" i="123"/>
  <c r="D87" i="123"/>
  <c r="G85" i="123"/>
  <c r="K82" i="123"/>
  <c r="E82" i="123"/>
  <c r="G90" i="123" s="1"/>
  <c r="D82" i="123"/>
  <c r="G73" i="123"/>
  <c r="G72" i="123"/>
  <c r="G71" i="123"/>
  <c r="G70" i="123"/>
  <c r="K69" i="123"/>
  <c r="G68" i="123"/>
  <c r="G67" i="123"/>
  <c r="G66" i="123"/>
  <c r="G65" i="123"/>
  <c r="K64" i="123"/>
  <c r="G63" i="123"/>
  <c r="G62" i="123"/>
  <c r="G61" i="123"/>
  <c r="G60" i="123"/>
  <c r="K59" i="123"/>
  <c r="G58" i="123"/>
  <c r="G57" i="123"/>
  <c r="G56" i="123"/>
  <c r="G55" i="123"/>
  <c r="K54" i="123"/>
  <c r="G53" i="123"/>
  <c r="G52" i="123"/>
  <c r="G51" i="123"/>
  <c r="G50" i="123"/>
  <c r="G48" i="123"/>
  <c r="G47" i="123"/>
  <c r="G46" i="123"/>
  <c r="G45" i="123"/>
  <c r="K44" i="123"/>
  <c r="G43" i="123"/>
  <c r="G42" i="123"/>
  <c r="G41" i="123"/>
  <c r="G40" i="123"/>
  <c r="K39" i="123"/>
  <c r="G38" i="123"/>
  <c r="G37" i="123"/>
  <c r="G36" i="123"/>
  <c r="G35" i="123"/>
  <c r="K34" i="123"/>
  <c r="G33" i="123"/>
  <c r="G32" i="123"/>
  <c r="G31" i="123"/>
  <c r="G30" i="123"/>
  <c r="K29" i="123"/>
  <c r="G28" i="123"/>
  <c r="G27" i="123"/>
  <c r="G26" i="123"/>
  <c r="G25" i="123"/>
  <c r="K24" i="123"/>
  <c r="G23" i="123"/>
  <c r="G22" i="123"/>
  <c r="G21" i="123"/>
  <c r="G20" i="123"/>
  <c r="K19" i="123"/>
  <c r="C19" i="123"/>
  <c r="L19" i="123" s="1"/>
  <c r="C18" i="123"/>
  <c r="M19" i="123" l="1"/>
  <c r="C24" i="123"/>
  <c r="G86" i="123"/>
  <c r="G88" i="123"/>
  <c r="G92" i="123"/>
  <c r="G83" i="123"/>
  <c r="G89" i="123"/>
  <c r="G84" i="123"/>
  <c r="L24" i="123" l="1"/>
  <c r="C29" i="123"/>
  <c r="C34" i="123" l="1"/>
  <c r="L29" i="123"/>
  <c r="M29" i="123" s="1"/>
  <c r="M24" i="123"/>
  <c r="C39" i="123" l="1"/>
  <c r="L34" i="123"/>
  <c r="L39" i="123" l="1"/>
  <c r="M39" i="123" s="1"/>
  <c r="C44" i="123"/>
  <c r="M34" i="123"/>
  <c r="C82" i="123" l="1"/>
  <c r="L44" i="123"/>
  <c r="C49" i="123"/>
  <c r="M44" i="123" l="1"/>
  <c r="C54" i="123"/>
  <c r="C87" i="123"/>
  <c r="L82" i="123" s="1"/>
  <c r="M82" i="123" s="1"/>
  <c r="C59" i="123" l="1"/>
  <c r="L54" i="123"/>
  <c r="M54" i="123" s="1"/>
  <c r="L59" i="123" l="1"/>
  <c r="M59" i="123" s="1"/>
  <c r="C64" i="123"/>
  <c r="L64" i="123" l="1"/>
  <c r="M64" i="123" s="1"/>
  <c r="C69" i="123"/>
  <c r="L69" i="123" s="1"/>
  <c r="M69" i="123" l="1"/>
  <c r="L93" i="123"/>
  <c r="M93" i="123" l="1"/>
  <c r="K93" i="123" l="1"/>
  <c r="N19" i="123"/>
  <c r="N24" i="123"/>
  <c r="N29" i="123"/>
  <c r="N34" i="123"/>
  <c r="N39" i="123"/>
  <c r="N82" i="123"/>
  <c r="N44" i="123"/>
  <c r="N54" i="123"/>
  <c r="N59" i="123"/>
  <c r="N64" i="123"/>
  <c r="N69" i="123"/>
  <c r="N93" i="123" l="1"/>
  <c r="O102" i="122" l="1"/>
  <c r="O101" i="122"/>
  <c r="G96" i="122"/>
  <c r="G92" i="122"/>
  <c r="D92" i="122"/>
  <c r="G90" i="122"/>
  <c r="G89" i="122"/>
  <c r="K87" i="122"/>
  <c r="E87" i="122"/>
  <c r="G95" i="122" s="1"/>
  <c r="D87" i="122"/>
  <c r="G78" i="122"/>
  <c r="G77" i="122"/>
  <c r="G76" i="122"/>
  <c r="G75" i="122"/>
  <c r="K74" i="122"/>
  <c r="G73" i="122"/>
  <c r="G72" i="122"/>
  <c r="G71" i="122"/>
  <c r="G70" i="122"/>
  <c r="K69" i="122"/>
  <c r="G68" i="122"/>
  <c r="G67" i="122"/>
  <c r="G66" i="122"/>
  <c r="G65" i="122"/>
  <c r="K64" i="122"/>
  <c r="G63" i="122"/>
  <c r="G62" i="122"/>
  <c r="G61" i="122"/>
  <c r="G60" i="122"/>
  <c r="K59" i="122"/>
  <c r="G58" i="122"/>
  <c r="G57" i="122"/>
  <c r="G56" i="122"/>
  <c r="G55" i="122"/>
  <c r="K54" i="122"/>
  <c r="G53" i="122"/>
  <c r="G52" i="122"/>
  <c r="G51" i="122"/>
  <c r="G50" i="122"/>
  <c r="K49" i="122"/>
  <c r="G48" i="122"/>
  <c r="G47" i="122"/>
  <c r="G46" i="122"/>
  <c r="G45" i="122"/>
  <c r="G43" i="122"/>
  <c r="G42" i="122"/>
  <c r="G41" i="122"/>
  <c r="G40" i="122"/>
  <c r="K39" i="122"/>
  <c r="G38" i="122"/>
  <c r="G37" i="122"/>
  <c r="G36" i="122"/>
  <c r="G35" i="122"/>
  <c r="K34" i="122"/>
  <c r="G33" i="122"/>
  <c r="G32" i="122"/>
  <c r="G31" i="122"/>
  <c r="G30" i="122"/>
  <c r="K29" i="122"/>
  <c r="G28" i="122"/>
  <c r="G27" i="122"/>
  <c r="G26" i="122"/>
  <c r="G25" i="122"/>
  <c r="K24" i="122"/>
  <c r="G23" i="122"/>
  <c r="G22" i="122"/>
  <c r="G21" i="122"/>
  <c r="G20" i="122"/>
  <c r="K19" i="122"/>
  <c r="C18" i="122"/>
  <c r="C19" i="122" s="1"/>
  <c r="L19" i="122" l="1"/>
  <c r="C24" i="122"/>
  <c r="M19" i="122"/>
  <c r="G91" i="122"/>
  <c r="G93" i="122"/>
  <c r="G97" i="122"/>
  <c r="G88" i="122"/>
  <c r="G94" i="122"/>
  <c r="L24" i="122" l="1"/>
  <c r="M24" i="122" s="1"/>
  <c r="C29" i="122"/>
  <c r="L29" i="122" l="1"/>
  <c r="M29" i="122" s="1"/>
  <c r="C34" i="122"/>
  <c r="C39" i="122" l="1"/>
  <c r="L34" i="122"/>
  <c r="M34" i="122" s="1"/>
  <c r="C87" i="122" l="1"/>
  <c r="C44" i="122"/>
  <c r="L39" i="122"/>
  <c r="C92" i="122" l="1"/>
  <c r="L87" i="122" s="1"/>
  <c r="M87" i="122" s="1"/>
  <c r="C49" i="122"/>
  <c r="M39" i="122"/>
  <c r="L49" i="122" l="1"/>
  <c r="M49" i="122" s="1"/>
  <c r="C54" i="122"/>
  <c r="C59" i="122" l="1"/>
  <c r="L54" i="122"/>
  <c r="M54" i="122" s="1"/>
  <c r="C64" i="122" l="1"/>
  <c r="L59" i="122"/>
  <c r="M59" i="122" s="1"/>
  <c r="L64" i="122" l="1"/>
  <c r="M64" i="122" s="1"/>
  <c r="C69" i="122"/>
  <c r="L69" i="122" l="1"/>
  <c r="M69" i="122" s="1"/>
  <c r="C74" i="122"/>
  <c r="L74" i="122" s="1"/>
  <c r="M74" i="122" l="1"/>
  <c r="L98" i="122"/>
  <c r="M98" i="122" l="1"/>
  <c r="K98" i="122" l="1"/>
  <c r="N19" i="122"/>
  <c r="N24" i="122"/>
  <c r="N29" i="122"/>
  <c r="N34" i="122"/>
  <c r="N39" i="122"/>
  <c r="N87" i="122"/>
  <c r="N49" i="122"/>
  <c r="N54" i="122"/>
  <c r="N59" i="122"/>
  <c r="N64" i="122"/>
  <c r="N69" i="122"/>
  <c r="N74" i="122"/>
  <c r="N98" i="122" l="1"/>
</calcChain>
</file>

<file path=xl/sharedStrings.xml><?xml version="1.0" encoding="utf-8"?>
<sst xmlns="http://schemas.openxmlformats.org/spreadsheetml/2006/main" count="724" uniqueCount="146">
  <si>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</si>
  <si>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</si>
  <si>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</si>
  <si>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</si>
  <si>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</si>
  <si>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</si>
  <si>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</si>
  <si>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</si>
  <si>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</si>
  <si>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</si>
  <si>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</si>
  <si>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</si>
  <si>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</si>
  <si>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</si>
  <si>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</si>
  <si>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</si>
  <si>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</si>
  <si>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</si>
  <si>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</si>
  <si>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</si>
  <si>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</si>
  <si>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</si>
  <si>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</si>
  <si>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</si>
  <si>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</si>
  <si>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</si>
  <si>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</si>
  <si>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</si>
  <si>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</si>
  <si>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</si>
  <si>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</si>
  <si>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</si>
  <si>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</si>
  <si>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</si>
  <si>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</si>
  <si>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</si>
  <si>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</si>
  <si>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</si>
  <si>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</si>
  <si>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</si>
  <si>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</si>
  <si>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</si>
  <si>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</si>
  <si>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</si>
  <si>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</si>
  <si>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</si>
  <si>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</si>
  <si>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</si>
  <si>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</si>
  <si>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</si>
  <si>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</si>
  <si>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</si>
  <si>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</si>
  <si>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</si>
  <si>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</si>
  <si>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</si>
  <si>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</si>
  <si>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</si>
  <si>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</si>
  <si>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</si>
  <si>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</si>
  <si>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</si>
  <si>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</si>
  <si>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</si>
  <si>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</si>
  <si>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</si>
  <si>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</si>
  <si>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</si>
  <si>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</si>
  <si>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</si>
  <si>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</si>
  <si>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</si>
  <si>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</si>
  <si>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</si>
  <si>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</si>
  <si>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</si>
  <si>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</si>
  <si>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</si>
  <si>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</si>
  <si>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</si>
  <si>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</si>
  <si>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</si>
  <si>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</si>
  <si>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</si>
  <si>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</si>
  <si>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</si>
  <si>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</si>
  <si>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</si>
  <si>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</si>
  <si>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</si>
  <si>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</si>
  <si>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</si>
  <si>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</si>
  <si>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</si>
  <si>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</si>
  <si>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</si>
  <si>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</si>
  <si>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</si>
  <si>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</si>
  <si>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</si>
  <si>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</si>
  <si>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</si>
  <si>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Calido</t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</si>
  <si>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</si>
  <si>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Se tomaron muestras de sedimentos en las dovelas #  _____ , _____ , ______ , ______ , _______ </t>
  </si>
  <si>
    <t>Detalle del aforo</t>
  </si>
  <si>
    <t>Cálido</t>
  </si>
  <si>
    <t>Organizando sección de aforo</t>
  </si>
  <si>
    <t>CARLOS COCUY</t>
  </si>
  <si>
    <t>RIO PENSILVANIA - MICROCENTRAL</t>
  </si>
  <si>
    <t xml:space="preserve">  N 5°22'55.86"</t>
  </si>
  <si>
    <t xml:space="preserve"> W 75° 7'53.87"</t>
  </si>
  <si>
    <r>
      <t xml:space="preserve">Tiempo contador </t>
    </r>
    <r>
      <rPr>
        <b/>
        <sz val="10"/>
        <color rgb="FF000000"/>
        <rFont val="Calibri"/>
        <family val="2"/>
      </rPr>
      <t xml:space="preserve">(tc) </t>
    </r>
    <r>
      <rPr>
        <sz val="10"/>
        <color rgb="FF000000"/>
        <rFont val="Calibri"/>
        <family val="2"/>
      </rPr>
      <t>[s]</t>
    </r>
  </si>
  <si>
    <r>
      <rPr>
        <b/>
        <i/>
        <sz val="10"/>
        <rFont val="Calibri"/>
        <family val="2"/>
      </rPr>
      <t>Vi</t>
    </r>
    <r>
      <rPr>
        <sz val="10"/>
        <rFont val="Calibri"/>
        <family val="2"/>
      </rPr>
      <t>= Velocidad a cada yi</t>
    </r>
  </si>
  <si>
    <r>
      <rPr>
        <b/>
        <i/>
        <sz val="10"/>
        <rFont val="Calibri"/>
        <family val="2"/>
      </rPr>
      <t>hi</t>
    </r>
    <r>
      <rPr>
        <sz val="10"/>
        <rFont val="Calibri"/>
        <family val="2"/>
      </rPr>
      <t>= Profundidad correspondiente a cada abscisa</t>
    </r>
  </si>
  <si>
    <r>
      <rPr>
        <b/>
        <i/>
        <sz val="10"/>
        <rFont val="Calibri"/>
        <family val="2"/>
      </rPr>
      <t>y</t>
    </r>
    <r>
      <rPr>
        <b/>
        <sz val="10"/>
        <rFont val="Calibri"/>
        <family val="2"/>
      </rPr>
      <t>=</t>
    </r>
    <r>
      <rPr>
        <sz val="10"/>
        <rFont val="Calibri"/>
        <family val="2"/>
      </rPr>
      <t xml:space="preserve"> Profundidad en la mitad dovela</t>
    </r>
  </si>
  <si>
    <r>
      <rPr>
        <b/>
        <i/>
        <sz val="10"/>
        <rFont val="Calibri"/>
        <family val="2"/>
      </rPr>
      <t>Rev</t>
    </r>
    <r>
      <rPr>
        <sz val="10"/>
        <rFont val="Calibri"/>
        <family val="2"/>
      </rPr>
      <t xml:space="preserve">= # vueltas en </t>
    </r>
    <r>
      <rPr>
        <b/>
        <sz val="10"/>
        <rFont val="Calibri"/>
        <family val="2"/>
      </rPr>
      <t>tc</t>
    </r>
  </si>
  <si>
    <r>
      <rPr>
        <b/>
        <i/>
        <sz val="10"/>
        <rFont val="Calibri"/>
        <family val="2"/>
      </rPr>
      <t>Qi</t>
    </r>
    <r>
      <rPr>
        <sz val="10"/>
        <rFont val="Calibri"/>
        <family val="2"/>
      </rPr>
      <t>= Caudal por dovela</t>
    </r>
  </si>
  <si>
    <r>
      <rPr>
        <b/>
        <i/>
        <sz val="10"/>
        <rFont val="Calibri"/>
        <family val="2"/>
      </rPr>
      <t>T</t>
    </r>
    <r>
      <rPr>
        <b/>
        <i/>
        <sz val="10"/>
        <rFont val="Calibri"/>
        <family val="2"/>
      </rPr>
      <t>ll</t>
    </r>
    <r>
      <rPr>
        <sz val="10"/>
        <rFont val="Calibri"/>
        <family val="2"/>
      </rPr>
      <t>= Tiempo de llenado-solidos suspendidos</t>
    </r>
  </si>
  <si>
    <r>
      <rPr>
        <b/>
        <i/>
        <sz val="10"/>
        <rFont val="Calibri"/>
        <family val="2"/>
      </rPr>
      <t>Rpm</t>
    </r>
    <r>
      <rPr>
        <sz val="10"/>
        <rFont val="Calibri"/>
        <family val="2"/>
      </rPr>
      <t>= Revoluciones por minuto</t>
    </r>
  </si>
  <si>
    <r>
      <rPr>
        <b/>
        <i/>
        <sz val="10"/>
        <rFont val="Calibri"/>
        <family val="2"/>
      </rPr>
      <t>Ai</t>
    </r>
    <r>
      <rPr>
        <sz val="10"/>
        <rFont val="Calibri"/>
        <family val="2"/>
      </rPr>
      <t>= Área por dovela</t>
    </r>
  </si>
  <si>
    <r>
      <rPr>
        <b/>
        <i/>
        <sz val="10"/>
        <rFont val="Calibri"/>
        <family val="2"/>
      </rPr>
      <t>Bq</t>
    </r>
    <r>
      <rPr>
        <sz val="10"/>
        <rFont val="Calibri"/>
        <family val="2"/>
      </rPr>
      <t xml:space="preserve"> = Boquilla muestreador solidos suspendidos</t>
    </r>
  </si>
  <si>
    <r>
      <t>h</t>
    </r>
    <r>
      <rPr>
        <b/>
        <sz val="11"/>
        <color rgb="FF000000"/>
        <rFont val="Calibri"/>
        <family val="2"/>
      </rPr>
      <t xml:space="preserve">i      </t>
    </r>
    <r>
      <rPr>
        <b/>
        <sz val="11"/>
        <color rgb="FF000000"/>
        <rFont val="Calibri"/>
        <family val="2"/>
      </rPr>
      <t xml:space="preserve">  [m]</t>
    </r>
  </si>
  <si>
    <r>
      <t>y</t>
    </r>
    <r>
      <rPr>
        <b/>
        <sz val="11"/>
        <color rgb="FF000000"/>
        <rFont val="Calibri"/>
        <family val="2"/>
      </rPr>
      <t xml:space="preserve">i   </t>
    </r>
    <r>
      <rPr>
        <b/>
        <sz val="11"/>
        <color rgb="FF000000"/>
        <rFont val="Calibri"/>
        <family val="2"/>
      </rPr>
      <t>[m]</t>
    </r>
  </si>
  <si>
    <r>
      <t>V</t>
    </r>
    <r>
      <rPr>
        <b/>
        <sz val="11"/>
        <color rgb="FF000000"/>
        <rFont val="Calibri"/>
        <family val="2"/>
      </rPr>
      <t>i</t>
    </r>
  </si>
  <si>
    <r>
      <t>A</t>
    </r>
    <r>
      <rPr>
        <b/>
        <sz val="11"/>
        <color rgb="FF000000"/>
        <rFont val="Calibri"/>
        <family val="2"/>
      </rPr>
      <t>i</t>
    </r>
  </si>
  <si>
    <r>
      <t>Q</t>
    </r>
    <r>
      <rPr>
        <b/>
        <sz val="11"/>
        <color rgb="FF000000"/>
        <rFont val="Calibri"/>
        <family val="2"/>
      </rPr>
      <t>i</t>
    </r>
  </si>
  <si>
    <r>
      <t>T</t>
    </r>
    <r>
      <rPr>
        <b/>
        <sz val="11"/>
        <color rgb="FF000000"/>
        <rFont val="Calibri"/>
        <family val="2"/>
      </rPr>
      <t>ll</t>
    </r>
  </si>
  <si>
    <r>
      <t>[m</t>
    </r>
    <r>
      <rPr>
        <b/>
        <sz val="11"/>
        <color rgb="FF000000"/>
        <rFont val="Calibri"/>
        <family val="2"/>
      </rPr>
      <t>2</t>
    </r>
    <r>
      <rPr>
        <b/>
        <sz val="11"/>
        <color rgb="FF000000"/>
        <rFont val="Calibri"/>
        <family val="2"/>
      </rPr>
      <t>]</t>
    </r>
  </si>
  <si>
    <r>
      <t>[m</t>
    </r>
    <r>
      <rPr>
        <b/>
        <sz val="11"/>
        <color rgb="FF000000"/>
        <rFont val="Calibri"/>
        <family val="2"/>
      </rPr>
      <t>3</t>
    </r>
    <r>
      <rPr>
        <b/>
        <sz val="11"/>
        <color rgb="FF000000"/>
        <rFont val="Calibri"/>
        <family val="2"/>
      </rPr>
      <t>/s]</t>
    </r>
  </si>
  <si>
    <t>Sup+F73:F78</t>
  </si>
  <si>
    <r>
      <rPr>
        <b/>
        <sz val="10"/>
        <rFont val="Calibri"/>
        <family val="2"/>
      </rPr>
      <t>Tll</t>
    </r>
    <r>
      <rPr>
        <sz val="10"/>
        <rFont val="Calibri"/>
        <family val="2"/>
      </rPr>
      <t xml:space="preserve"> es a partir de la curva "Sampling Volume 690 CC" ingresando         en [ft/s]  </t>
    </r>
  </si>
  <si>
    <r>
      <t xml:space="preserve">At = </t>
    </r>
    <r>
      <rPr>
        <sz val="10"/>
        <color rgb="FF000000"/>
        <rFont val="Calibri"/>
        <family val="2"/>
      </rPr>
      <t>ΣAi</t>
    </r>
  </si>
  <si>
    <r>
      <t xml:space="preserve">Qt = </t>
    </r>
    <r>
      <rPr>
        <sz val="10"/>
        <color rgb="FF000000"/>
        <rFont val="Calibri"/>
        <family val="2"/>
      </rPr>
      <t>ΣQi</t>
    </r>
  </si>
  <si>
    <t>Durante la jornada de aforo se determinó el perfil de la sección de aforo, se midió la altura del nivel del agua al sensor . Teniendo en cuenta las observaciones de los asesores del GTA de Ingeniería Hidráulica y Ambiental los aforos se realizaron así: Si y &lt; 0.12m se toma la velocidad a 0.6 de h. Si y&gt;=0.12m se toman velocidades a 0,2 - 0,6 y 0,8 de y. El sensor no registra nivel en las horas del aforo</t>
  </si>
  <si>
    <r>
      <t xml:space="preserve">Nivel del agua en el sensor (m) </t>
    </r>
    <r>
      <rPr>
        <sz val="9"/>
        <color rgb="FF000000"/>
        <rFont val="Calibri"/>
        <family val="2"/>
      </rPr>
      <t>(Dato suministrado por el administrador de la red)</t>
    </r>
  </si>
  <si>
    <t>SINDATO</t>
  </si>
  <si>
    <t>Proceso de aforo</t>
  </si>
  <si>
    <t>Inicio del aforo</t>
  </si>
  <si>
    <t>Medida de la temperatura y Organizando sección de aforo</t>
  </si>
  <si>
    <t>Rio pensilvania - Microcentral</t>
  </si>
  <si>
    <t>frio con lloviznas</t>
  </si>
  <si>
    <t>Detalle general de aforo</t>
  </si>
  <si>
    <t>Medida de temperatura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</si>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</sst>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9" tint="0.79998168889431442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609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Font="1" applyBorder="1"/>
    <xf numFmtId="0" fontId="2" fillId="0" borderId="37" xfId="0" applyFont="1" applyBorder="1"/>
    <xf numFmtId="0" fontId="2" fillId="0" borderId="0" xfId="0" applyFont="1"/>
    <xf numFmtId="0" fontId="2" fillId="0" borderId="0" xfId="0" applyFont="1" applyAlignment="1"/>
    <xf numFmtId="0" fontId="17" fillId="6" borderId="76" xfId="0" applyFont="1" applyFill="1" applyBorder="1" applyAlignment="1">
      <alignment horizontal="center" vertical="center"/>
    </xf>
    <xf numFmtId="0" fontId="17" fillId="6" borderId="93" xfId="0" applyFont="1" applyFill="1" applyBorder="1" applyAlignment="1">
      <alignment vertical="center"/>
    </xf>
    <xf numFmtId="0" fontId="17" fillId="6" borderId="93" xfId="0" applyFont="1" applyFill="1" applyBorder="1" applyAlignment="1">
      <alignment horizontal="center" vertical="center"/>
    </xf>
    <xf numFmtId="0" fontId="17" fillId="6" borderId="54" xfId="0" applyFont="1" applyFill="1" applyBorder="1" applyAlignment="1">
      <alignment horizontal="center" vertical="center"/>
    </xf>
    <xf numFmtId="0" fontId="2" fillId="0" borderId="87" xfId="0" applyFont="1" applyBorder="1"/>
    <xf numFmtId="0" fontId="17" fillId="6" borderId="87" xfId="0" applyFont="1" applyFill="1" applyBorder="1" applyAlignment="1">
      <alignment vertical="center"/>
    </xf>
    <xf numFmtId="0" fontId="17" fillId="6" borderId="96" xfId="0" applyFont="1" applyFill="1" applyBorder="1" applyAlignment="1">
      <alignment horizontal="center" vertical="center"/>
    </xf>
    <xf numFmtId="0" fontId="17" fillId="6" borderId="83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5" xfId="0" applyFont="1" applyFill="1" applyBorder="1" applyAlignment="1">
      <alignment horizontal="center" vertical="center" wrapText="1"/>
    </xf>
    <xf numFmtId="0" fontId="2" fillId="0" borderId="91" xfId="0" applyFont="1" applyFill="1" applyBorder="1" applyAlignment="1">
      <alignment horizontal="center" vertical="center" wrapText="1"/>
    </xf>
    <xf numFmtId="0" fontId="17" fillId="0" borderId="91" xfId="0" applyFont="1" applyFill="1" applyBorder="1" applyAlignment="1">
      <alignment horizontal="center" vertical="center"/>
    </xf>
    <xf numFmtId="0" fontId="12" fillId="0" borderId="91" xfId="0" applyFont="1" applyFill="1" applyBorder="1" applyAlignment="1">
      <alignment horizontal="center"/>
    </xf>
    <xf numFmtId="2" fontId="14" fillId="0" borderId="91" xfId="0" applyNumberFormat="1" applyFont="1" applyFill="1" applyBorder="1" applyAlignment="1">
      <alignment vertical="center"/>
    </xf>
    <xf numFmtId="164" fontId="14" fillId="0" borderId="91" xfId="0" applyNumberFormat="1" applyFont="1" applyFill="1" applyBorder="1" applyAlignment="1">
      <alignment vertical="center"/>
    </xf>
    <xf numFmtId="0" fontId="17" fillId="0" borderId="97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3" xfId="0" applyFont="1" applyFill="1" applyBorder="1" applyAlignment="1">
      <alignment horizontal="center"/>
    </xf>
    <xf numFmtId="2" fontId="14" fillId="0" borderId="93" xfId="0" applyNumberFormat="1" applyFont="1" applyFill="1" applyBorder="1" applyAlignment="1">
      <alignment horizontal="center" vertical="center"/>
    </xf>
    <xf numFmtId="2" fontId="14" fillId="0" borderId="93" xfId="0" applyNumberFormat="1" applyFont="1" applyFill="1" applyBorder="1" applyAlignment="1">
      <alignment vertical="center"/>
    </xf>
    <xf numFmtId="0" fontId="2" fillId="0" borderId="93" xfId="0" applyFont="1" applyFill="1" applyBorder="1"/>
    <xf numFmtId="164" fontId="14" fillId="0" borderId="93" xfId="0" applyNumberFormat="1" applyFont="1" applyFill="1" applyBorder="1" applyAlignment="1">
      <alignment horizontal="center" vertical="center"/>
    </xf>
    <xf numFmtId="0" fontId="12" fillId="0" borderId="98" xfId="0" applyFont="1" applyFill="1" applyBorder="1" applyAlignment="1">
      <alignment horizontal="center"/>
    </xf>
    <xf numFmtId="2" fontId="14" fillId="0" borderId="98" xfId="0" applyNumberFormat="1" applyFont="1" applyFill="1" applyBorder="1" applyAlignment="1">
      <alignment horizontal="center" vertical="center"/>
    </xf>
    <xf numFmtId="2" fontId="14" fillId="0" borderId="98" xfId="0" applyNumberFormat="1" applyFont="1" applyFill="1" applyBorder="1" applyAlignment="1">
      <alignment vertical="center"/>
    </xf>
    <xf numFmtId="0" fontId="2" fillId="0" borderId="98" xfId="0" applyFont="1" applyFill="1" applyBorder="1"/>
    <xf numFmtId="164" fontId="14" fillId="0" borderId="98" xfId="0" applyNumberFormat="1" applyFont="1" applyFill="1" applyBorder="1" applyAlignment="1">
      <alignment horizontal="center" vertical="center"/>
    </xf>
    <xf numFmtId="0" fontId="12" fillId="0" borderId="101" xfId="0" applyFont="1" applyFill="1" applyBorder="1" applyAlignment="1">
      <alignment horizontal="center"/>
    </xf>
    <xf numFmtId="2" fontId="14" fillId="0" borderId="101" xfId="0" applyNumberFormat="1" applyFont="1" applyFill="1" applyBorder="1" applyAlignment="1">
      <alignment horizontal="center" vertical="center"/>
    </xf>
    <xf numFmtId="2" fontId="14" fillId="0" borderId="101" xfId="0" applyNumberFormat="1" applyFont="1" applyFill="1" applyBorder="1" applyAlignment="1">
      <alignment vertical="center"/>
    </xf>
    <xf numFmtId="0" fontId="2" fillId="0" borderId="101" xfId="0" applyFont="1" applyFill="1" applyBorder="1"/>
    <xf numFmtId="164" fontId="14" fillId="0" borderId="101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4" xfId="0" applyFont="1" applyFill="1" applyBorder="1" applyAlignment="1">
      <alignment vertical="center" wrapText="1"/>
    </xf>
    <xf numFmtId="0" fontId="21" fillId="0" borderId="37" xfId="0" applyFont="1" applyBorder="1"/>
    <xf numFmtId="2" fontId="14" fillId="10" borderId="108" xfId="0" applyNumberFormat="1" applyFont="1" applyFill="1" applyBorder="1" applyAlignment="1">
      <alignment horizontal="center" vertical="center"/>
    </xf>
    <xf numFmtId="2" fontId="14" fillId="10" borderId="108" xfId="0" applyNumberFormat="1" applyFont="1" applyFill="1" applyBorder="1" applyAlignment="1">
      <alignment horizontal="center"/>
    </xf>
    <xf numFmtId="164" fontId="2" fillId="10" borderId="108" xfId="0" applyNumberFormat="1" applyFont="1" applyFill="1" applyBorder="1" applyAlignment="1">
      <alignment horizontal="center"/>
    </xf>
    <xf numFmtId="164" fontId="2" fillId="9" borderId="108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8" xfId="0" applyFont="1" applyFill="1" applyBorder="1" applyAlignment="1">
      <alignment horizontal="center"/>
    </xf>
    <xf numFmtId="2" fontId="14" fillId="10" borderId="98" xfId="0" applyNumberFormat="1" applyFont="1" applyFill="1" applyBorder="1" applyAlignment="1">
      <alignment horizontal="center" vertical="center"/>
    </xf>
    <xf numFmtId="2" fontId="14" fillId="10" borderId="98" xfId="0" applyNumberFormat="1" applyFont="1" applyFill="1" applyBorder="1" applyAlignment="1">
      <alignment horizontal="center"/>
    </xf>
    <xf numFmtId="164" fontId="2" fillId="10" borderId="98" xfId="0" applyNumberFormat="1" applyFont="1" applyFill="1" applyBorder="1" applyAlignment="1">
      <alignment horizontal="center"/>
    </xf>
    <xf numFmtId="164" fontId="2" fillId="9" borderId="98" xfId="0" applyNumberFormat="1" applyFont="1" applyFill="1" applyBorder="1" applyAlignment="1">
      <alignment horizontal="center"/>
    </xf>
    <xf numFmtId="2" fontId="14" fillId="10" borderId="115" xfId="0" applyNumberFormat="1" applyFont="1" applyFill="1" applyBorder="1" applyAlignment="1">
      <alignment horizontal="center" vertical="center"/>
    </xf>
    <xf numFmtId="2" fontId="14" fillId="10" borderId="115" xfId="0" applyNumberFormat="1" applyFont="1" applyFill="1" applyBorder="1" applyAlignment="1">
      <alignment horizontal="center"/>
    </xf>
    <xf numFmtId="164" fontId="2" fillId="10" borderId="115" xfId="0" applyNumberFormat="1" applyFont="1" applyFill="1" applyBorder="1" applyAlignment="1">
      <alignment horizontal="center"/>
    </xf>
    <xf numFmtId="164" fontId="2" fillId="11" borderId="115" xfId="0" applyNumberFormat="1" applyFont="1" applyFill="1" applyBorder="1" applyAlignment="1">
      <alignment horizont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2" fillId="5" borderId="47" xfId="0" applyFont="1" applyFill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vertical="center"/>
    </xf>
    <xf numFmtId="0" fontId="22" fillId="0" borderId="47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4" xfId="0" applyFont="1" applyFill="1" applyBorder="1" applyAlignment="1">
      <alignment horizontal="center" vertical="center"/>
    </xf>
    <xf numFmtId="0" fontId="2" fillId="0" borderId="60" xfId="0" applyFont="1" applyFill="1" applyBorder="1" applyAlignment="1">
      <alignment horizontal="center" vertical="center"/>
    </xf>
    <xf numFmtId="0" fontId="22" fillId="0" borderId="63" xfId="0" applyFont="1" applyFill="1" applyBorder="1" applyAlignment="1">
      <alignment horizontal="center" vertical="center"/>
    </xf>
    <xf numFmtId="0" fontId="23" fillId="0" borderId="70" xfId="0" applyFont="1" applyFill="1" applyBorder="1" applyAlignment="1">
      <alignment vertical="top" wrapText="1"/>
    </xf>
    <xf numFmtId="0" fontId="23" fillId="0" borderId="54" xfId="0" applyFont="1" applyFill="1" applyBorder="1" applyAlignment="1">
      <alignment horizontal="center" vertical="top" wrapText="1"/>
    </xf>
    <xf numFmtId="0" fontId="23" fillId="0" borderId="73" xfId="0" applyFont="1" applyFill="1" applyBorder="1" applyAlignment="1">
      <alignment horizontal="center"/>
    </xf>
    <xf numFmtId="0" fontId="22" fillId="0" borderId="63" xfId="0" applyFont="1" applyFill="1" applyBorder="1" applyAlignment="1">
      <alignment horizontal="center" vertical="top" wrapText="1"/>
    </xf>
    <xf numFmtId="0" fontId="22" fillId="0" borderId="80" xfId="0" applyFont="1" applyFill="1" applyBorder="1" applyAlignment="1">
      <alignment horizontal="center" vertical="center" wrapText="1"/>
    </xf>
    <xf numFmtId="20" fontId="22" fillId="0" borderId="83" xfId="0" applyNumberFormat="1" applyFont="1" applyFill="1" applyBorder="1" applyAlignment="1">
      <alignment horizontal="center" vertical="top"/>
    </xf>
    <xf numFmtId="0" fontId="22" fillId="0" borderId="84" xfId="0" applyFont="1" applyFill="1" applyBorder="1" applyAlignment="1">
      <alignment horizontal="center" vertical="top"/>
    </xf>
    <xf numFmtId="0" fontId="22" fillId="0" borderId="73" xfId="0" applyFont="1" applyFill="1" applyBorder="1" applyAlignment="1">
      <alignment horizontal="center" vertical="center"/>
    </xf>
    <xf numFmtId="0" fontId="22" fillId="0" borderId="87" xfId="0" applyFont="1" applyFill="1" applyBorder="1" applyAlignment="1">
      <alignment horizontal="center" vertical="center"/>
    </xf>
    <xf numFmtId="164" fontId="17" fillId="5" borderId="117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164" fontId="14" fillId="0" borderId="91" xfId="0" applyNumberFormat="1" applyFont="1" applyFill="1" applyBorder="1" applyAlignment="1">
      <alignment horizontal="center" vertical="center"/>
    </xf>
    <xf numFmtId="2" fontId="14" fillId="0" borderId="91" xfId="0" applyNumberFormat="1" applyFont="1" applyFill="1" applyBorder="1" applyAlignment="1">
      <alignment horizontal="center" vertical="center"/>
    </xf>
    <xf numFmtId="0" fontId="2" fillId="0" borderId="0" xfId="1" applyFont="1" applyAlignment="1"/>
    <xf numFmtId="0" fontId="2" fillId="0" borderId="0" xfId="1" applyFont="1" applyAlignment="1">
      <alignment horizontal="center"/>
    </xf>
    <xf numFmtId="0" fontId="2" fillId="0" borderId="37" xfId="1" applyFont="1" applyBorder="1"/>
    <xf numFmtId="0" fontId="2" fillId="0" borderId="0" xfId="1" applyFont="1"/>
    <xf numFmtId="0" fontId="2" fillId="0" borderId="44" xfId="1" applyFont="1" applyBorder="1" applyAlignment="1">
      <alignment horizontal="center" vertical="center"/>
    </xf>
    <xf numFmtId="0" fontId="2" fillId="0" borderId="44" xfId="1" applyFont="1" applyBorder="1" applyAlignment="1">
      <alignment vertical="center"/>
    </xf>
    <xf numFmtId="0" fontId="22" fillId="5" borderId="47" xfId="1" applyFont="1" applyFill="1" applyBorder="1" applyAlignment="1">
      <alignment horizontal="center" vertical="center"/>
    </xf>
    <xf numFmtId="0" fontId="2" fillId="0" borderId="46" xfId="1" applyFont="1" applyBorder="1" applyAlignment="1">
      <alignment vertical="center"/>
    </xf>
    <xf numFmtId="0" fontId="2" fillId="0" borderId="37" xfId="1" applyFont="1" applyFill="1" applyBorder="1" applyAlignment="1">
      <alignment vertical="center"/>
    </xf>
    <xf numFmtId="0" fontId="2" fillId="0" borderId="38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vertical="center"/>
    </xf>
    <xf numFmtId="0" fontId="22" fillId="0" borderId="47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23" fillId="0" borderId="54" xfId="1" applyFont="1" applyFill="1" applyBorder="1" applyAlignment="1">
      <alignment horizontal="center" vertical="center"/>
    </xf>
    <xf numFmtId="0" fontId="2" fillId="0" borderId="60" xfId="1" applyFont="1" applyFill="1" applyBorder="1" applyAlignment="1">
      <alignment horizontal="center" vertical="center"/>
    </xf>
    <xf numFmtId="0" fontId="22" fillId="0" borderId="63" xfId="1" applyFont="1" applyFill="1" applyBorder="1" applyAlignment="1">
      <alignment horizontal="center" vertical="center"/>
    </xf>
    <xf numFmtId="0" fontId="23" fillId="0" borderId="70" xfId="1" applyFont="1" applyFill="1" applyBorder="1" applyAlignment="1">
      <alignment vertical="top" wrapText="1"/>
    </xf>
    <xf numFmtId="0" fontId="23" fillId="0" borderId="54" xfId="1" applyFont="1" applyFill="1" applyBorder="1" applyAlignment="1">
      <alignment horizontal="center" vertical="top" wrapText="1"/>
    </xf>
    <xf numFmtId="0" fontId="23" fillId="0" borderId="73" xfId="1" applyFont="1" applyFill="1" applyBorder="1" applyAlignment="1">
      <alignment horizontal="center"/>
    </xf>
    <xf numFmtId="0" fontId="22" fillId="0" borderId="63" xfId="1" applyFont="1" applyFill="1" applyBorder="1" applyAlignment="1">
      <alignment horizontal="center" vertical="top" wrapText="1"/>
    </xf>
    <xf numFmtId="0" fontId="22" fillId="0" borderId="80" xfId="1" applyFont="1" applyFill="1" applyBorder="1" applyAlignment="1">
      <alignment horizontal="center" vertical="center" wrapText="1"/>
    </xf>
    <xf numFmtId="20" fontId="22" fillId="0" borderId="83" xfId="1" applyNumberFormat="1" applyFont="1" applyFill="1" applyBorder="1" applyAlignment="1">
      <alignment horizontal="center" vertical="top"/>
    </xf>
    <xf numFmtId="0" fontId="22" fillId="0" borderId="84" xfId="1" applyFont="1" applyFill="1" applyBorder="1" applyAlignment="1">
      <alignment horizontal="center" vertical="top"/>
    </xf>
    <xf numFmtId="0" fontId="22" fillId="0" borderId="73" xfId="1" applyFont="1" applyFill="1" applyBorder="1" applyAlignment="1">
      <alignment horizontal="center" vertical="center"/>
    </xf>
    <xf numFmtId="0" fontId="22" fillId="0" borderId="87" xfId="1" applyFont="1" applyFill="1" applyBorder="1" applyAlignment="1">
      <alignment horizontal="center" vertical="center"/>
    </xf>
    <xf numFmtId="0" fontId="19" fillId="7" borderId="0" xfId="1" applyFont="1" applyFill="1" applyBorder="1" applyAlignment="1">
      <alignment horizontal="left" vertical="center" wrapText="1"/>
    </xf>
    <xf numFmtId="0" fontId="17" fillId="6" borderId="76" xfId="1" applyFont="1" applyFill="1" applyBorder="1" applyAlignment="1">
      <alignment horizontal="center" vertical="center"/>
    </xf>
    <xf numFmtId="0" fontId="17" fillId="6" borderId="93" xfId="1" applyFont="1" applyFill="1" applyBorder="1" applyAlignment="1">
      <alignment vertical="center"/>
    </xf>
    <xf numFmtId="0" fontId="17" fillId="6" borderId="93" xfId="1" applyFont="1" applyFill="1" applyBorder="1" applyAlignment="1">
      <alignment horizontal="center" vertical="center"/>
    </xf>
    <xf numFmtId="0" fontId="17" fillId="6" borderId="54" xfId="1" applyFont="1" applyFill="1" applyBorder="1" applyAlignment="1">
      <alignment horizontal="center" vertical="center"/>
    </xf>
    <xf numFmtId="0" fontId="2" fillId="0" borderId="87" xfId="1" applyFont="1" applyBorder="1"/>
    <xf numFmtId="0" fontId="17" fillId="6" borderId="87" xfId="1" applyFont="1" applyFill="1" applyBorder="1" applyAlignment="1">
      <alignment vertical="center"/>
    </xf>
    <xf numFmtId="0" fontId="17" fillId="6" borderId="96" xfId="1" applyFont="1" applyFill="1" applyBorder="1" applyAlignment="1">
      <alignment horizontal="center" vertical="center"/>
    </xf>
    <xf numFmtId="0" fontId="17" fillId="6" borderId="83" xfId="1" applyFont="1" applyFill="1" applyBorder="1" applyAlignment="1">
      <alignment horizontal="center" vertical="center"/>
    </xf>
    <xf numFmtId="0" fontId="21" fillId="0" borderId="0" xfId="1" applyFont="1" applyFill="1"/>
    <xf numFmtId="0" fontId="17" fillId="0" borderId="75" xfId="1" applyFont="1" applyFill="1" applyBorder="1" applyAlignment="1">
      <alignment horizontal="center" vertical="center" wrapText="1"/>
    </xf>
    <xf numFmtId="0" fontId="2" fillId="0" borderId="91" xfId="1" applyFont="1" applyFill="1" applyBorder="1" applyAlignment="1">
      <alignment horizontal="center" vertical="center" wrapText="1"/>
    </xf>
    <xf numFmtId="0" fontId="17" fillId="0" borderId="91" xfId="1" applyFont="1" applyFill="1" applyBorder="1" applyAlignment="1">
      <alignment horizontal="center" vertical="center"/>
    </xf>
    <xf numFmtId="0" fontId="12" fillId="0" borderId="91" xfId="1" applyFont="1" applyFill="1" applyBorder="1" applyAlignment="1">
      <alignment horizontal="center"/>
    </xf>
    <xf numFmtId="2" fontId="14" fillId="0" borderId="91" xfId="1" applyNumberFormat="1" applyFont="1" applyFill="1" applyBorder="1" applyAlignment="1">
      <alignment horizontal="center" vertical="center"/>
    </xf>
    <xf numFmtId="2" fontId="14" fillId="0" borderId="91" xfId="1" applyNumberFormat="1" applyFont="1" applyFill="1" applyBorder="1" applyAlignment="1">
      <alignment vertical="center"/>
    </xf>
    <xf numFmtId="164" fontId="14" fillId="0" borderId="91" xfId="1" applyNumberFormat="1" applyFont="1" applyFill="1" applyBorder="1" applyAlignment="1">
      <alignment vertical="center"/>
    </xf>
    <xf numFmtId="164" fontId="14" fillId="0" borderId="91" xfId="1" applyNumberFormat="1" applyFont="1" applyFill="1" applyBorder="1" applyAlignment="1">
      <alignment horizontal="center" vertical="center"/>
    </xf>
    <xf numFmtId="0" fontId="17" fillId="0" borderId="97" xfId="1" applyFont="1" applyFill="1" applyBorder="1" applyAlignment="1">
      <alignment horizontal="center" vertical="center"/>
    </xf>
    <xf numFmtId="0" fontId="2" fillId="0" borderId="0" xfId="1" applyFont="1" applyFill="1" applyAlignment="1"/>
    <xf numFmtId="0" fontId="12" fillId="0" borderId="93" xfId="1" applyFont="1" applyFill="1" applyBorder="1" applyAlignment="1">
      <alignment horizontal="center"/>
    </xf>
    <xf numFmtId="2" fontId="14" fillId="0" borderId="93" xfId="1" applyNumberFormat="1" applyFont="1" applyFill="1" applyBorder="1" applyAlignment="1">
      <alignment horizontal="center" vertical="center"/>
    </xf>
    <xf numFmtId="2" fontId="14" fillId="0" borderId="93" xfId="1" applyNumberFormat="1" applyFont="1" applyFill="1" applyBorder="1" applyAlignment="1">
      <alignment vertical="center"/>
    </xf>
    <xf numFmtId="0" fontId="2" fillId="0" borderId="93" xfId="1" applyFont="1" applyFill="1" applyBorder="1"/>
    <xf numFmtId="164" fontId="14" fillId="0" borderId="93" xfId="1" applyNumberFormat="1" applyFont="1" applyFill="1" applyBorder="1" applyAlignment="1">
      <alignment horizontal="center" vertical="center"/>
    </xf>
    <xf numFmtId="0" fontId="12" fillId="0" borderId="98" xfId="1" applyFont="1" applyFill="1" applyBorder="1" applyAlignment="1">
      <alignment horizontal="center"/>
    </xf>
    <xf numFmtId="2" fontId="14" fillId="0" borderId="98" xfId="1" applyNumberFormat="1" applyFont="1" applyFill="1" applyBorder="1" applyAlignment="1">
      <alignment horizontal="center" vertical="center"/>
    </xf>
    <xf numFmtId="2" fontId="14" fillId="0" borderId="98" xfId="1" applyNumberFormat="1" applyFont="1" applyFill="1" applyBorder="1" applyAlignment="1">
      <alignment vertical="center"/>
    </xf>
    <xf numFmtId="0" fontId="2" fillId="0" borderId="98" xfId="1" applyFont="1" applyFill="1" applyBorder="1"/>
    <xf numFmtId="164" fontId="14" fillId="0" borderId="98" xfId="1" applyNumberFormat="1" applyFont="1" applyFill="1" applyBorder="1" applyAlignment="1">
      <alignment horizontal="center" vertical="center"/>
    </xf>
    <xf numFmtId="0" fontId="12" fillId="0" borderId="101" xfId="1" applyFont="1" applyFill="1" applyBorder="1" applyAlignment="1">
      <alignment horizontal="center"/>
    </xf>
    <xf numFmtId="2" fontId="14" fillId="0" borderId="101" xfId="1" applyNumberFormat="1" applyFont="1" applyFill="1" applyBorder="1" applyAlignment="1">
      <alignment horizontal="center" vertical="center"/>
    </xf>
    <xf numFmtId="2" fontId="14" fillId="0" borderId="101" xfId="1" applyNumberFormat="1" applyFont="1" applyFill="1" applyBorder="1" applyAlignment="1">
      <alignment vertical="center"/>
    </xf>
    <xf numFmtId="0" fontId="2" fillId="0" borderId="101" xfId="1" applyFont="1" applyFill="1" applyBorder="1"/>
    <xf numFmtId="164" fontId="14" fillId="0" borderId="101" xfId="1" applyNumberFormat="1" applyFont="1" applyFill="1" applyBorder="1" applyAlignment="1">
      <alignment horizontal="center" vertical="center"/>
    </xf>
    <xf numFmtId="0" fontId="3" fillId="0" borderId="0" xfId="1" applyFont="1"/>
    <xf numFmtId="0" fontId="3" fillId="0" borderId="9" xfId="1" applyFont="1" applyBorder="1"/>
    <xf numFmtId="0" fontId="4" fillId="8" borderId="26" xfId="1" applyFont="1" applyFill="1" applyBorder="1" applyAlignment="1">
      <alignment vertical="center" wrapText="1"/>
    </xf>
    <xf numFmtId="0" fontId="4" fillId="8" borderId="104" xfId="1" applyFont="1" applyFill="1" applyBorder="1" applyAlignment="1">
      <alignment vertical="center" wrapText="1"/>
    </xf>
    <xf numFmtId="0" fontId="21" fillId="0" borderId="37" xfId="1" applyFont="1" applyBorder="1"/>
    <xf numFmtId="2" fontId="14" fillId="10" borderId="108" xfId="1" applyNumberFormat="1" applyFont="1" applyFill="1" applyBorder="1" applyAlignment="1">
      <alignment horizontal="center" vertical="center"/>
    </xf>
    <xf numFmtId="2" fontId="14" fillId="10" borderId="108" xfId="1" applyNumberFormat="1" applyFont="1" applyFill="1" applyBorder="1" applyAlignment="1">
      <alignment horizontal="center"/>
    </xf>
    <xf numFmtId="164" fontId="2" fillId="10" borderId="108" xfId="1" applyNumberFormat="1" applyFont="1" applyFill="1" applyBorder="1" applyAlignment="1">
      <alignment horizontal="center"/>
    </xf>
    <xf numFmtId="164" fontId="2" fillId="9" borderId="108" xfId="1" applyNumberFormat="1" applyFont="1" applyFill="1" applyBorder="1" applyAlignment="1">
      <alignment horizontal="center"/>
    </xf>
    <xf numFmtId="0" fontId="21" fillId="0" borderId="0" xfId="1" applyFont="1"/>
    <xf numFmtId="0" fontId="14" fillId="10" borderId="98" xfId="1" applyFont="1" applyFill="1" applyBorder="1" applyAlignment="1">
      <alignment horizontal="center"/>
    </xf>
    <xf numFmtId="2" fontId="14" fillId="10" borderId="98" xfId="1" applyNumberFormat="1" applyFont="1" applyFill="1" applyBorder="1" applyAlignment="1">
      <alignment horizontal="center" vertical="center"/>
    </xf>
    <xf numFmtId="2" fontId="14" fillId="10" borderId="98" xfId="1" applyNumberFormat="1" applyFont="1" applyFill="1" applyBorder="1" applyAlignment="1">
      <alignment horizontal="center"/>
    </xf>
    <xf numFmtId="164" fontId="2" fillId="10" borderId="98" xfId="1" applyNumberFormat="1" applyFont="1" applyFill="1" applyBorder="1" applyAlignment="1">
      <alignment horizontal="center"/>
    </xf>
    <xf numFmtId="164" fontId="2" fillId="9" borderId="98" xfId="1" applyNumberFormat="1" applyFont="1" applyFill="1" applyBorder="1" applyAlignment="1">
      <alignment horizontal="center"/>
    </xf>
    <xf numFmtId="2" fontId="14" fillId="10" borderId="115" xfId="1" applyNumberFormat="1" applyFont="1" applyFill="1" applyBorder="1" applyAlignment="1">
      <alignment horizontal="center" vertical="center"/>
    </xf>
    <xf numFmtId="2" fontId="14" fillId="10" borderId="115" xfId="1" applyNumberFormat="1" applyFont="1" applyFill="1" applyBorder="1" applyAlignment="1">
      <alignment horizontal="center"/>
    </xf>
    <xf numFmtId="164" fontId="2" fillId="10" borderId="115" xfId="1" applyNumberFormat="1" applyFont="1" applyFill="1" applyBorder="1" applyAlignment="1">
      <alignment horizontal="center"/>
    </xf>
    <xf numFmtId="164" fontId="2" fillId="11" borderId="115" xfId="1" applyNumberFormat="1" applyFont="1" applyFill="1" applyBorder="1" applyAlignment="1">
      <alignment horizontal="center"/>
    </xf>
    <xf numFmtId="0" fontId="3" fillId="0" borderId="31" xfId="1" applyFont="1" applyBorder="1"/>
    <xf numFmtId="164" fontId="5" fillId="0" borderId="35" xfId="1" applyNumberFormat="1" applyFont="1" applyBorder="1" applyAlignment="1">
      <alignment horizontal="center"/>
    </xf>
    <xf numFmtId="164" fontId="5" fillId="0" borderId="35" xfId="1" applyNumberFormat="1" applyFont="1" applyBorder="1" applyAlignment="1">
      <alignment horizontal="center" vertical="center"/>
    </xf>
    <xf numFmtId="166" fontId="5" fillId="0" borderId="35" xfId="1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 vertical="top"/>
    </xf>
    <xf numFmtId="0" fontId="2" fillId="0" borderId="31" xfId="1" applyBorder="1"/>
    <xf numFmtId="0" fontId="2" fillId="0" borderId="0" xfId="1"/>
    <xf numFmtId="0" fontId="2" fillId="0" borderId="31" xfId="1" applyBorder="1" applyAlignment="1">
      <alignment horizontal="center"/>
    </xf>
    <xf numFmtId="0" fontId="2" fillId="0" borderId="31" xfId="1" applyBorder="1" applyAlignment="1"/>
    <xf numFmtId="164" fontId="17" fillId="5" borderId="117" xfId="1" applyNumberFormat="1" applyFont="1" applyFill="1" applyBorder="1" applyAlignment="1">
      <alignment horizontal="center" vertical="center"/>
    </xf>
    <xf numFmtId="0" fontId="17" fillId="0" borderId="41" xfId="1" applyFont="1" applyBorder="1"/>
    <xf numFmtId="0" fontId="2" fillId="0" borderId="49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0" borderId="42" xfId="1" applyFont="1" applyBorder="1" applyAlignment="1">
      <alignment horizontal="center" vertical="center" wrapText="1"/>
    </xf>
    <xf numFmtId="0" fontId="14" fillId="0" borderId="42" xfId="1" applyFont="1" applyBorder="1"/>
    <xf numFmtId="0" fontId="14" fillId="0" borderId="43" xfId="1" applyFont="1" applyBorder="1"/>
    <xf numFmtId="0" fontId="21" fillId="0" borderId="49" xfId="1" applyFont="1" applyBorder="1" applyAlignment="1">
      <alignment horizontal="center"/>
    </xf>
    <xf numFmtId="0" fontId="14" fillId="0" borderId="46" xfId="1" applyFont="1" applyBorder="1"/>
    <xf numFmtId="0" fontId="14" fillId="0" borderId="50" xfId="1" applyFont="1" applyBorder="1"/>
    <xf numFmtId="0" fontId="21" fillId="0" borderId="45" xfId="1" applyFont="1" applyBorder="1" applyAlignment="1">
      <alignment horizontal="center"/>
    </xf>
    <xf numFmtId="0" fontId="14" fillId="0" borderId="48" xfId="1" applyFont="1" applyBorder="1"/>
    <xf numFmtId="0" fontId="2" fillId="0" borderId="42" xfId="1" applyFont="1" applyBorder="1" applyAlignment="1">
      <alignment horizontal="center"/>
    </xf>
    <xf numFmtId="0" fontId="17" fillId="6" borderId="38" xfId="1" applyFont="1" applyFill="1" applyBorder="1" applyAlignment="1">
      <alignment horizontal="center"/>
    </xf>
    <xf numFmtId="0" fontId="14" fillId="0" borderId="39" xfId="1" applyFont="1" applyBorder="1"/>
    <xf numFmtId="0" fontId="14" fillId="0" borderId="40" xfId="1" applyFont="1" applyBorder="1"/>
    <xf numFmtId="0" fontId="17" fillId="0" borderId="9" xfId="1" applyFont="1" applyBorder="1" applyAlignment="1">
      <alignment horizontal="center"/>
    </xf>
    <xf numFmtId="0" fontId="17" fillId="0" borderId="118" xfId="1" applyFont="1" applyBorder="1" applyAlignment="1">
      <alignment horizontal="center"/>
    </xf>
    <xf numFmtId="0" fontId="17" fillId="0" borderId="119" xfId="1" applyFont="1" applyBorder="1" applyAlignment="1">
      <alignment horizontal="center"/>
    </xf>
    <xf numFmtId="0" fontId="29" fillId="0" borderId="9" xfId="1" applyFont="1" applyBorder="1" applyAlignment="1">
      <alignment horizontal="center"/>
    </xf>
    <xf numFmtId="0" fontId="29" fillId="0" borderId="118" xfId="1" applyFont="1" applyBorder="1" applyAlignment="1">
      <alignment horizontal="center"/>
    </xf>
    <xf numFmtId="0" fontId="29" fillId="0" borderId="119" xfId="1" applyFont="1" applyBorder="1" applyAlignment="1">
      <alignment horizontal="center"/>
    </xf>
    <xf numFmtId="0" fontId="17" fillId="0" borderId="41" xfId="1" applyFont="1" applyBorder="1" applyAlignment="1">
      <alignment horizontal="center"/>
    </xf>
    <xf numFmtId="0" fontId="14" fillId="0" borderId="123" xfId="1" applyFont="1" applyBorder="1"/>
    <xf numFmtId="0" fontId="1" fillId="0" borderId="120" xfId="1" applyFont="1" applyBorder="1" applyAlignment="1">
      <alignment horizontal="center"/>
    </xf>
    <xf numFmtId="0" fontId="1" fillId="0" borderId="18" xfId="1" applyFont="1" applyBorder="1" applyAlignment="1">
      <alignment horizontal="center"/>
    </xf>
    <xf numFmtId="0" fontId="1" fillId="0" borderId="121" xfId="1" applyFont="1" applyBorder="1" applyAlignment="1">
      <alignment horizontal="center"/>
    </xf>
    <xf numFmtId="0" fontId="1" fillId="0" borderId="122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25" xfId="1" applyFont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4" fillId="4" borderId="11" xfId="1" applyFont="1" applyFill="1" applyBorder="1" applyAlignment="1">
      <alignment horizontal="center" wrapText="1"/>
    </xf>
    <xf numFmtId="0" fontId="14" fillId="4" borderId="15" xfId="1" applyFont="1" applyFill="1" applyBorder="1" applyAlignment="1">
      <alignment horizontal="center" wrapText="1"/>
    </xf>
    <xf numFmtId="164" fontId="14" fillId="12" borderId="15" xfId="1" applyNumberFormat="1" applyFont="1" applyFill="1" applyBorder="1" applyAlignment="1">
      <alignment horizontal="center"/>
    </xf>
    <xf numFmtId="164" fontId="14" fillId="12" borderId="12" xfId="1" applyNumberFormat="1" applyFont="1" applyFill="1" applyBorder="1" applyAlignment="1">
      <alignment horizontal="center"/>
    </xf>
    <xf numFmtId="0" fontId="14" fillId="4" borderId="13" xfId="1" applyFont="1" applyFill="1" applyBorder="1" applyAlignment="1">
      <alignment horizontal="center" wrapText="1"/>
    </xf>
    <xf numFmtId="0" fontId="14" fillId="4" borderId="16" xfId="1" applyFont="1" applyFill="1" applyBorder="1" applyAlignment="1">
      <alignment horizontal="center" wrapText="1"/>
    </xf>
    <xf numFmtId="0" fontId="14" fillId="12" borderId="16" xfId="1" applyFont="1" applyFill="1" applyBorder="1" applyAlignment="1">
      <alignment horizontal="center"/>
    </xf>
    <xf numFmtId="0" fontId="14" fillId="12" borderId="14" xfId="1" applyFont="1" applyFill="1" applyBorder="1" applyAlignment="1">
      <alignment horizontal="center"/>
    </xf>
    <xf numFmtId="0" fontId="2" fillId="0" borderId="120" xfId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21" xfId="1" applyFont="1" applyBorder="1" applyAlignment="1">
      <alignment horizontal="center" vertical="center" wrapText="1"/>
    </xf>
    <xf numFmtId="0" fontId="2" fillId="0" borderId="122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03" xfId="1" applyFont="1" applyBorder="1" applyAlignment="1">
      <alignment horizontal="left" wrapText="1"/>
    </xf>
    <xf numFmtId="0" fontId="2" fillId="0" borderId="36" xfId="1" applyFont="1" applyBorder="1" applyAlignment="1">
      <alignment horizontal="left" wrapText="1"/>
    </xf>
    <xf numFmtId="0" fontId="2" fillId="0" borderId="26" xfId="1" applyFont="1" applyFill="1" applyBorder="1" applyAlignment="1">
      <alignment horizontal="left" vertical="center" wrapText="1"/>
    </xf>
    <xf numFmtId="0" fontId="2" fillId="0" borderId="27" xfId="1" applyFont="1" applyFill="1" applyBorder="1" applyAlignment="1">
      <alignment horizontal="left" vertical="center" wrapText="1"/>
    </xf>
    <xf numFmtId="0" fontId="17" fillId="13" borderId="0" xfId="1" applyFont="1" applyFill="1" applyBorder="1" applyAlignment="1">
      <alignment horizontal="center" vertical="top" wrapText="1"/>
    </xf>
    <xf numFmtId="0" fontId="17" fillId="13" borderId="42" xfId="1" applyFont="1" applyFill="1" applyBorder="1" applyAlignment="1">
      <alignment horizontal="center" vertical="top" wrapText="1"/>
    </xf>
    <xf numFmtId="0" fontId="6" fillId="3" borderId="34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6" fillId="3" borderId="30" xfId="1" applyFont="1" applyFill="1" applyBorder="1" applyAlignment="1">
      <alignment horizontal="center" vertical="top" wrapText="1"/>
    </xf>
    <xf numFmtId="0" fontId="6" fillId="3" borderId="10" xfId="1" applyFont="1" applyFill="1" applyBorder="1" applyAlignment="1">
      <alignment horizontal="center" vertical="top" wrapText="1"/>
    </xf>
    <xf numFmtId="0" fontId="1" fillId="0" borderId="11" xfId="1" applyFont="1" applyBorder="1" applyAlignment="1">
      <alignment horizontal="center"/>
    </xf>
    <xf numFmtId="0" fontId="1" fillId="0" borderId="15" xfId="1" applyFont="1" applyBorder="1" applyAlignment="1">
      <alignment horizontal="center"/>
    </xf>
    <xf numFmtId="0" fontId="1" fillId="0" borderId="32" xfId="1" applyFont="1" applyBorder="1" applyAlignment="1">
      <alignment horizontal="center"/>
    </xf>
    <xf numFmtId="0" fontId="1" fillId="3" borderId="11" xfId="1" applyFont="1" applyFill="1" applyBorder="1" applyAlignment="1">
      <alignment horizontal="center" vertical="top"/>
    </xf>
    <xf numFmtId="0" fontId="1" fillId="3" borderId="15" xfId="1" applyFont="1" applyFill="1" applyBorder="1" applyAlignment="1">
      <alignment horizontal="center" vertical="top"/>
    </xf>
    <xf numFmtId="0" fontId="1" fillId="3" borderId="12" xfId="1" applyFont="1" applyFill="1" applyBorder="1" applyAlignment="1">
      <alignment horizontal="center" vertical="top"/>
    </xf>
    <xf numFmtId="0" fontId="14" fillId="10" borderId="107" xfId="1" applyFont="1" applyFill="1" applyBorder="1" applyAlignment="1">
      <alignment horizontal="center" vertical="center"/>
    </xf>
    <xf numFmtId="0" fontId="14" fillId="3" borderId="94" xfId="1" applyFont="1" applyFill="1" applyBorder="1"/>
    <xf numFmtId="0" fontId="14" fillId="3" borderId="114" xfId="1" applyFont="1" applyFill="1" applyBorder="1"/>
    <xf numFmtId="166" fontId="14" fillId="10" borderId="107" xfId="1" applyNumberFormat="1" applyFont="1" applyFill="1" applyBorder="1" applyAlignment="1">
      <alignment horizontal="center" vertical="center"/>
    </xf>
    <xf numFmtId="0" fontId="14" fillId="10" borderId="109" xfId="1" applyFont="1" applyFill="1" applyBorder="1" applyAlignment="1">
      <alignment horizontal="center" vertical="center"/>
    </xf>
    <xf numFmtId="0" fontId="14" fillId="3" borderId="111" xfId="1" applyFont="1" applyFill="1" applyBorder="1"/>
    <xf numFmtId="0" fontId="14" fillId="3" borderId="116" xfId="1" applyFont="1" applyFill="1" applyBorder="1"/>
    <xf numFmtId="2" fontId="14" fillId="9" borderId="96" xfId="1" applyNumberFormat="1" applyFont="1" applyFill="1" applyBorder="1" applyAlignment="1">
      <alignment horizontal="center" vertical="center"/>
    </xf>
    <xf numFmtId="164" fontId="14" fillId="9" borderId="96" xfId="1" applyNumberFormat="1" applyFont="1" applyFill="1" applyBorder="1" applyAlignment="1">
      <alignment horizontal="center" vertical="center"/>
    </xf>
    <xf numFmtId="0" fontId="5" fillId="0" borderId="27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center" vertical="top" wrapText="1"/>
    </xf>
    <xf numFmtId="0" fontId="5" fillId="0" borderId="0" xfId="1" applyFont="1" applyBorder="1" applyAlignment="1">
      <alignment horizontal="center" vertical="top" wrapText="1"/>
    </xf>
    <xf numFmtId="0" fontId="5" fillId="0" borderId="29" xfId="1" applyFont="1" applyBorder="1" applyAlignment="1">
      <alignment horizontal="left" vertical="center" wrapText="1"/>
    </xf>
    <xf numFmtId="0" fontId="5" fillId="0" borderId="30" xfId="1" applyFont="1" applyBorder="1" applyAlignment="1">
      <alignment horizontal="left" vertical="center" wrapText="1"/>
    </xf>
    <xf numFmtId="0" fontId="14" fillId="9" borderId="106" xfId="1" applyFont="1" applyFill="1" applyBorder="1" applyAlignment="1">
      <alignment horizontal="center" vertical="center"/>
    </xf>
    <xf numFmtId="0" fontId="14" fillId="3" borderId="110" xfId="1" applyFont="1" applyFill="1" applyBorder="1"/>
    <xf numFmtId="0" fontId="14" fillId="3" borderId="113" xfId="1" applyFont="1" applyFill="1" applyBorder="1"/>
    <xf numFmtId="2" fontId="14" fillId="9" borderId="107" xfId="1" applyNumberFormat="1" applyFont="1" applyFill="1" applyBorder="1" applyAlignment="1">
      <alignment horizontal="center" vertical="center"/>
    </xf>
    <xf numFmtId="0" fontId="14" fillId="3" borderId="112" xfId="1" applyFont="1" applyFill="1" applyBorder="1"/>
    <xf numFmtId="164" fontId="14" fillId="9" borderId="107" xfId="1" applyNumberFormat="1" applyFont="1" applyFill="1" applyBorder="1" applyAlignment="1">
      <alignment horizontal="center" vertical="center"/>
    </xf>
    <xf numFmtId="164" fontId="14" fillId="10" borderId="107" xfId="1" applyNumberFormat="1" applyFont="1" applyFill="1" applyBorder="1" applyAlignment="1">
      <alignment horizontal="center" vertical="center"/>
    </xf>
    <xf numFmtId="164" fontId="14" fillId="0" borderId="91" xfId="1" applyNumberFormat="1" applyFont="1" applyFill="1" applyBorder="1" applyAlignment="1">
      <alignment horizontal="center" vertical="center"/>
    </xf>
    <xf numFmtId="0" fontId="14" fillId="0" borderId="94" xfId="1" applyFont="1" applyFill="1" applyBorder="1"/>
    <xf numFmtId="0" fontId="14" fillId="0" borderId="100" xfId="1" applyFont="1" applyFill="1" applyBorder="1"/>
    <xf numFmtId="165" fontId="14" fillId="0" borderId="91" xfId="1" applyNumberFormat="1" applyFont="1" applyFill="1" applyBorder="1" applyAlignment="1">
      <alignment horizontal="center" vertical="center"/>
    </xf>
    <xf numFmtId="0" fontId="14" fillId="0" borderId="91" xfId="1" applyFont="1" applyFill="1" applyBorder="1" applyAlignment="1">
      <alignment horizontal="center" vertical="center"/>
    </xf>
    <xf numFmtId="0" fontId="14" fillId="0" borderId="97" xfId="1" applyFont="1" applyFill="1" applyBorder="1" applyAlignment="1">
      <alignment horizontal="center" vertical="center"/>
    </xf>
    <xf numFmtId="0" fontId="14" fillId="0" borderId="99" xfId="1" applyFont="1" applyFill="1" applyBorder="1"/>
    <xf numFmtId="0" fontId="14" fillId="0" borderId="102" xfId="1" applyFont="1" applyFill="1" applyBorder="1"/>
    <xf numFmtId="0" fontId="4" fillId="8" borderId="103" xfId="1" applyFont="1" applyFill="1" applyBorder="1" applyAlignment="1">
      <alignment horizontal="center" vertical="center" textRotation="90"/>
    </xf>
    <xf numFmtId="0" fontId="4" fillId="8" borderId="104" xfId="1" applyFont="1" applyFill="1" applyBorder="1" applyAlignment="1">
      <alignment horizontal="center" vertical="center" textRotation="90"/>
    </xf>
    <xf numFmtId="0" fontId="4" fillId="8" borderId="105" xfId="1" applyFont="1" applyFill="1" applyBorder="1" applyAlignment="1">
      <alignment horizontal="center" vertical="center" textRotation="90"/>
    </xf>
    <xf numFmtId="0" fontId="4" fillId="2" borderId="1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3" xfId="1" applyFont="1" applyFill="1" applyBorder="1" applyAlignment="1">
      <alignment horizontal="center" vertical="top"/>
    </xf>
    <xf numFmtId="0" fontId="4" fillId="2" borderId="4" xfId="1" applyFont="1" applyFill="1" applyBorder="1" applyAlignment="1">
      <alignment horizontal="center" vertical="top"/>
    </xf>
    <xf numFmtId="0" fontId="4" fillId="2" borderId="0" xfId="1" applyFont="1" applyFill="1" applyBorder="1" applyAlignment="1">
      <alignment horizontal="center" vertical="top"/>
    </xf>
    <xf numFmtId="0" fontId="4" fillId="2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top"/>
    </xf>
    <xf numFmtId="0" fontId="2" fillId="0" borderId="75" xfId="1" applyFont="1" applyFill="1" applyBorder="1" applyAlignment="1">
      <alignment horizontal="center" vertical="center"/>
    </xf>
    <xf numFmtId="0" fontId="14" fillId="0" borderId="72" xfId="1" applyFont="1" applyFill="1" applyBorder="1"/>
    <xf numFmtId="0" fontId="14" fillId="0" borderId="79" xfId="1" applyFont="1" applyFill="1" applyBorder="1"/>
    <xf numFmtId="2" fontId="14" fillId="0" borderId="91" xfId="1" applyNumberFormat="1" applyFont="1" applyFill="1" applyBorder="1" applyAlignment="1">
      <alignment horizontal="center" vertical="center"/>
    </xf>
    <xf numFmtId="0" fontId="14" fillId="7" borderId="42" xfId="1" applyFont="1" applyFill="1" applyBorder="1" applyAlignment="1">
      <alignment horizontal="center" vertical="center" wrapText="1"/>
    </xf>
    <xf numFmtId="0" fontId="14" fillId="0" borderId="42" xfId="1" applyFont="1" applyBorder="1" applyAlignment="1">
      <alignment horizontal="center"/>
    </xf>
    <xf numFmtId="0" fontId="14" fillId="7" borderId="42" xfId="1" applyFont="1" applyFill="1" applyBorder="1" applyAlignment="1">
      <alignment horizontal="center"/>
    </xf>
    <xf numFmtId="0" fontId="17" fillId="6" borderId="75" xfId="1" applyFont="1" applyFill="1" applyBorder="1" applyAlignment="1">
      <alignment horizontal="center" vertical="center" wrapText="1"/>
    </xf>
    <xf numFmtId="0" fontId="14" fillId="0" borderId="72" xfId="1" applyFont="1" applyBorder="1"/>
    <xf numFmtId="0" fontId="17" fillId="6" borderId="91" xfId="1" applyFont="1" applyFill="1" applyBorder="1" applyAlignment="1">
      <alignment horizontal="center" vertical="center" wrapText="1"/>
    </xf>
    <xf numFmtId="0" fontId="14" fillId="0" borderId="94" xfId="1" applyFont="1" applyBorder="1"/>
    <xf numFmtId="0" fontId="17" fillId="6" borderId="91" xfId="1" applyFont="1" applyFill="1" applyBorder="1" applyAlignment="1">
      <alignment horizontal="center" vertical="center"/>
    </xf>
    <xf numFmtId="0" fontId="17" fillId="6" borderId="51" xfId="1" applyFont="1" applyFill="1" applyBorder="1" applyAlignment="1">
      <alignment horizontal="center" vertical="center"/>
    </xf>
    <xf numFmtId="0" fontId="14" fillId="0" borderId="77" xfId="1" applyFont="1" applyBorder="1"/>
    <xf numFmtId="0" fontId="14" fillId="0" borderId="0" xfId="1" applyFont="1" applyBorder="1"/>
    <xf numFmtId="0" fontId="17" fillId="6" borderId="92" xfId="1" applyFont="1" applyFill="1" applyBorder="1" applyAlignment="1">
      <alignment horizontal="center" vertical="center" wrapText="1"/>
    </xf>
    <xf numFmtId="0" fontId="14" fillId="0" borderId="95" xfId="1" applyFont="1" applyBorder="1"/>
    <xf numFmtId="0" fontId="17" fillId="6" borderId="38" xfId="1" applyFont="1" applyFill="1" applyBorder="1" applyAlignment="1">
      <alignment horizontal="center" vertical="center" textRotation="90" wrapText="1"/>
    </xf>
    <xf numFmtId="0" fontId="14" fillId="0" borderId="89" xfId="1" applyFont="1" applyBorder="1"/>
    <xf numFmtId="0" fontId="14" fillId="0" borderId="41" xfId="1" applyFont="1" applyBorder="1"/>
    <xf numFmtId="0" fontId="14" fillId="0" borderId="38" xfId="1" applyFont="1" applyFill="1" applyBorder="1" applyAlignment="1">
      <alignment horizontal="center" vertical="center"/>
    </xf>
    <xf numFmtId="0" fontId="14" fillId="0" borderId="39" xfId="1" applyFont="1" applyFill="1" applyBorder="1" applyAlignment="1">
      <alignment horizontal="center"/>
    </xf>
    <xf numFmtId="0" fontId="14" fillId="0" borderId="39" xfId="1" applyFont="1" applyFill="1" applyBorder="1" applyAlignment="1">
      <alignment horizontal="center" vertical="center" wrapText="1"/>
    </xf>
    <xf numFmtId="0" fontId="14" fillId="0" borderId="39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horizontal="center"/>
    </xf>
    <xf numFmtId="0" fontId="14" fillId="7" borderId="89" xfId="1" applyFont="1" applyFill="1" applyBorder="1" applyAlignment="1">
      <alignment horizontal="center" vertical="center"/>
    </xf>
    <xf numFmtId="0" fontId="14" fillId="0" borderId="0" xfId="1" applyFont="1" applyBorder="1" applyAlignment="1">
      <alignment horizontal="center"/>
    </xf>
    <xf numFmtId="0" fontId="14" fillId="7" borderId="0" xfId="1" applyFont="1" applyFill="1" applyBorder="1" applyAlignment="1">
      <alignment horizontal="center" vertical="center" wrapText="1"/>
    </xf>
    <xf numFmtId="0" fontId="14" fillId="7" borderId="0" xfId="1" applyFont="1" applyFill="1" applyBorder="1" applyAlignment="1">
      <alignment horizontal="center" vertical="center"/>
    </xf>
    <xf numFmtId="0" fontId="14" fillId="7" borderId="0" xfId="1" applyFont="1" applyFill="1" applyBorder="1" applyAlignment="1">
      <alignment horizontal="center"/>
    </xf>
    <xf numFmtId="0" fontId="14" fillId="0" borderId="90" xfId="1" applyFont="1" applyBorder="1"/>
    <xf numFmtId="0" fontId="14" fillId="7" borderId="41" xfId="1" applyFont="1" applyFill="1" applyBorder="1" applyAlignment="1">
      <alignment horizontal="center" vertical="center" wrapText="1"/>
    </xf>
    <xf numFmtId="0" fontId="2" fillId="0" borderId="82" xfId="1" applyFont="1" applyFill="1" applyBorder="1" applyAlignment="1">
      <alignment horizontal="center" vertical="center" wrapText="1"/>
    </xf>
    <xf numFmtId="0" fontId="14" fillId="0" borderId="85" xfId="1" applyFont="1" applyFill="1" applyBorder="1"/>
    <xf numFmtId="0" fontId="2" fillId="0" borderId="61" xfId="1" applyFont="1" applyFill="1" applyBorder="1" applyAlignment="1">
      <alignment horizontal="center" vertical="center"/>
    </xf>
    <xf numFmtId="0" fontId="14" fillId="0" borderId="62" xfId="1" applyFont="1" applyFill="1" applyBorder="1"/>
    <xf numFmtId="0" fontId="2" fillId="0" borderId="61" xfId="1" applyFont="1" applyFill="1" applyBorder="1" applyAlignment="1">
      <alignment horizontal="center"/>
    </xf>
    <xf numFmtId="0" fontId="2" fillId="0" borderId="61" xfId="1" applyFont="1" applyFill="1" applyBorder="1" applyAlignment="1">
      <alignment horizontal="center" vertical="top"/>
    </xf>
    <xf numFmtId="0" fontId="22" fillId="0" borderId="61" xfId="1" applyFont="1" applyFill="1" applyBorder="1" applyAlignment="1">
      <alignment horizontal="center" vertical="center" wrapText="1"/>
    </xf>
    <xf numFmtId="0" fontId="15" fillId="0" borderId="88" xfId="1" applyFont="1" applyFill="1" applyBorder="1"/>
    <xf numFmtId="0" fontId="2" fillId="0" borderId="80" xfId="1" applyFont="1" applyFill="1" applyBorder="1" applyAlignment="1">
      <alignment horizontal="center" vertical="center"/>
    </xf>
    <xf numFmtId="0" fontId="2" fillId="0" borderId="82" xfId="1" applyFont="1" applyFill="1" applyBorder="1" applyAlignment="1">
      <alignment horizontal="center" vertical="center"/>
    </xf>
    <xf numFmtId="0" fontId="14" fillId="0" borderId="74" xfId="1" applyFont="1" applyFill="1" applyBorder="1"/>
    <xf numFmtId="0" fontId="2" fillId="0" borderId="82" xfId="1" applyFont="1" applyFill="1" applyBorder="1" applyAlignment="1">
      <alignment horizontal="center"/>
    </xf>
    <xf numFmtId="0" fontId="2" fillId="0" borderId="52" xfId="1" applyFont="1" applyFill="1" applyBorder="1" applyAlignment="1">
      <alignment horizontal="center" vertical="top"/>
    </xf>
    <xf numFmtId="0" fontId="14" fillId="0" borderId="53" xfId="1" applyFont="1" applyFill="1" applyBorder="1"/>
    <xf numFmtId="0" fontId="22" fillId="0" borderId="64" xfId="1" applyFont="1" applyFill="1" applyBorder="1" applyAlignment="1">
      <alignment horizontal="center"/>
    </xf>
    <xf numFmtId="0" fontId="15" fillId="0" borderId="64" xfId="1" applyFont="1" applyFill="1" applyBorder="1"/>
    <xf numFmtId="0" fontId="23" fillId="0" borderId="65" xfId="1" applyFont="1" applyFill="1" applyBorder="1" applyAlignment="1">
      <alignment horizontal="center"/>
    </xf>
    <xf numFmtId="0" fontId="15" fillId="0" borderId="66" xfId="1" applyFont="1" applyFill="1" applyBorder="1"/>
    <xf numFmtId="0" fontId="15" fillId="0" borderId="67" xfId="1" applyFont="1" applyFill="1" applyBorder="1"/>
    <xf numFmtId="0" fontId="23" fillId="0" borderId="68" xfId="1" applyFont="1" applyFill="1" applyBorder="1" applyAlignment="1">
      <alignment horizontal="center"/>
    </xf>
    <xf numFmtId="0" fontId="15" fillId="0" borderId="69" xfId="1" applyFont="1" applyFill="1" applyBorder="1"/>
    <xf numFmtId="0" fontId="17" fillId="6" borderId="71" xfId="1" applyFont="1" applyFill="1" applyBorder="1" applyAlignment="1">
      <alignment horizontal="center" vertical="center" wrapText="1"/>
    </xf>
    <xf numFmtId="0" fontId="14" fillId="0" borderId="78" xfId="1" applyFont="1" applyBorder="1"/>
    <xf numFmtId="0" fontId="14" fillId="0" borderId="86" xfId="1" applyFont="1" applyBorder="1"/>
    <xf numFmtId="0" fontId="24" fillId="0" borderId="72" xfId="1" applyFont="1" applyFill="1" applyBorder="1" applyAlignment="1">
      <alignment horizontal="center" vertical="center" wrapText="1"/>
    </xf>
    <xf numFmtId="0" fontId="2" fillId="0" borderId="73" xfId="1" applyFont="1" applyFill="1" applyBorder="1" applyAlignment="1">
      <alignment horizontal="center" vertical="center"/>
    </xf>
    <xf numFmtId="0" fontId="24" fillId="0" borderId="75" xfId="1" applyFont="1" applyFill="1" applyBorder="1" applyAlignment="1">
      <alignment horizontal="center" vertical="center" wrapText="1"/>
    </xf>
    <xf numFmtId="0" fontId="2" fillId="0" borderId="76" xfId="1" applyFont="1" applyFill="1" applyBorder="1" applyAlignment="1">
      <alignment horizontal="center" vertical="center"/>
    </xf>
    <xf numFmtId="0" fontId="22" fillId="0" borderId="77" xfId="1" applyFont="1" applyFill="1" applyBorder="1" applyAlignment="1">
      <alignment horizontal="center" vertical="center"/>
    </xf>
    <xf numFmtId="0" fontId="15" fillId="0" borderId="0" xfId="1" applyFont="1" applyFill="1" applyBorder="1"/>
    <xf numFmtId="0" fontId="15" fillId="0" borderId="39" xfId="1" applyFont="1" applyFill="1" applyBorder="1"/>
    <xf numFmtId="0" fontId="15" fillId="0" borderId="40" xfId="1" applyFont="1" applyFill="1" applyBorder="1"/>
    <xf numFmtId="0" fontId="15" fillId="0" borderId="81" xfId="1" applyFont="1" applyFill="1" applyBorder="1"/>
    <xf numFmtId="0" fontId="15" fillId="0" borderId="42" xfId="1" applyFont="1" applyFill="1" applyBorder="1"/>
    <xf numFmtId="0" fontId="15" fillId="0" borderId="43" xfId="1" applyFont="1" applyFill="1" applyBorder="1"/>
    <xf numFmtId="0" fontId="2" fillId="0" borderId="49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vertical="center"/>
    </xf>
    <xf numFmtId="0" fontId="22" fillId="0" borderId="51" xfId="1" applyFont="1" applyFill="1" applyBorder="1" applyAlignment="1">
      <alignment horizontal="center" vertical="center"/>
    </xf>
    <xf numFmtId="0" fontId="15" fillId="0" borderId="39" xfId="1" applyFont="1" applyFill="1" applyBorder="1" applyAlignment="1">
      <alignment vertical="center"/>
    </xf>
    <xf numFmtId="0" fontId="15" fillId="0" borderId="40" xfId="1" applyFont="1" applyFill="1" applyBorder="1" applyAlignment="1">
      <alignment vertical="center"/>
    </xf>
    <xf numFmtId="0" fontId="16" fillId="0" borderId="51" xfId="1" applyFont="1" applyFill="1" applyBorder="1" applyAlignment="1">
      <alignment horizontal="center" vertical="center"/>
    </xf>
    <xf numFmtId="0" fontId="15" fillId="0" borderId="50" xfId="1" applyFont="1" applyFill="1" applyBorder="1" applyAlignment="1">
      <alignment vertical="center"/>
    </xf>
    <xf numFmtId="0" fontId="17" fillId="6" borderId="38" xfId="1" applyFont="1" applyFill="1" applyBorder="1" applyAlignment="1">
      <alignment horizontal="center" vertical="center" wrapText="1"/>
    </xf>
    <xf numFmtId="0" fontId="2" fillId="0" borderId="52" xfId="1" applyFont="1" applyFill="1" applyBorder="1" applyAlignment="1">
      <alignment horizontal="center"/>
    </xf>
    <xf numFmtId="0" fontId="2" fillId="0" borderId="55" xfId="1" applyFont="1" applyFill="1" applyBorder="1" applyAlignment="1">
      <alignment horizontal="center" vertical="center"/>
    </xf>
    <xf numFmtId="0" fontId="14" fillId="0" borderId="55" xfId="1" applyFont="1" applyFill="1" applyBorder="1"/>
    <xf numFmtId="0" fontId="2" fillId="0" borderId="56" xfId="1" applyFont="1" applyFill="1" applyBorder="1" applyAlignment="1">
      <alignment horizontal="center" vertical="center" wrapText="1"/>
    </xf>
    <xf numFmtId="0" fontId="14" fillId="0" borderId="57" xfId="1" applyFont="1" applyFill="1" applyBorder="1"/>
    <xf numFmtId="0" fontId="14" fillId="0" borderId="58" xfId="1" applyFont="1" applyFill="1" applyBorder="1"/>
    <xf numFmtId="0" fontId="2" fillId="0" borderId="55" xfId="1" applyFont="1" applyFill="1" applyBorder="1" applyAlignment="1">
      <alignment horizontal="center" vertical="center" wrapText="1"/>
    </xf>
    <xf numFmtId="0" fontId="14" fillId="0" borderId="59" xfId="1" applyFont="1" applyFill="1" applyBorder="1"/>
    <xf numFmtId="0" fontId="13" fillId="0" borderId="39" xfId="1" applyFont="1" applyBorder="1" applyAlignment="1">
      <alignment horizontal="center" wrapText="1"/>
    </xf>
    <xf numFmtId="14" fontId="22" fillId="0" borderId="45" xfId="1" applyNumberFormat="1" applyFont="1" applyFill="1" applyBorder="1" applyAlignment="1">
      <alignment horizontal="center" vertical="center"/>
    </xf>
    <xf numFmtId="0" fontId="15" fillId="0" borderId="46" xfId="1" applyFont="1" applyFill="1" applyBorder="1"/>
    <xf numFmtId="0" fontId="17" fillId="0" borderId="49" xfId="1" applyFont="1" applyBorder="1" applyAlignment="1">
      <alignment horizontal="left"/>
    </xf>
    <xf numFmtId="0" fontId="17" fillId="0" borderId="46" xfId="1" applyFont="1" applyBorder="1" applyAlignment="1">
      <alignment horizontal="right"/>
    </xf>
    <xf numFmtId="0" fontId="17" fillId="0" borderId="61" xfId="1" applyFont="1" applyBorder="1" applyAlignment="1">
      <alignment horizontal="center"/>
    </xf>
    <xf numFmtId="0" fontId="14" fillId="0" borderId="64" xfId="1" applyFont="1" applyBorder="1"/>
    <xf numFmtId="0" fontId="14" fillId="0" borderId="62" xfId="1" applyFont="1" applyBorder="1"/>
    <xf numFmtId="0" fontId="14" fillId="0" borderId="88" xfId="1" applyFont="1" applyBorder="1"/>
    <xf numFmtId="164" fontId="14" fillId="14" borderId="15" xfId="1" applyNumberFormat="1" applyFont="1" applyFill="1" applyBorder="1" applyAlignment="1">
      <alignment horizontal="center"/>
    </xf>
    <xf numFmtId="164" fontId="14" fillId="14" borderId="12" xfId="1" applyNumberFormat="1" applyFont="1" applyFill="1" applyBorder="1" applyAlignment="1">
      <alignment horizontal="center"/>
    </xf>
    <xf numFmtId="0" fontId="14" fillId="14" borderId="16" xfId="1" applyFont="1" applyFill="1" applyBorder="1" applyAlignment="1">
      <alignment horizontal="center"/>
    </xf>
    <xf numFmtId="0" fontId="14" fillId="14" borderId="14" xfId="1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1" xfId="0" applyFont="1" applyBorder="1" applyAlignment="1">
      <alignment horizontal="center"/>
    </xf>
    <xf numFmtId="0" fontId="1" fillId="0" borderId="12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2" borderId="16" xfId="0" applyFont="1" applyFill="1" applyBorder="1" applyAlignment="1">
      <alignment horizontal="center"/>
    </xf>
    <xf numFmtId="0" fontId="14" fillId="12" borderId="14" xfId="0" applyFont="1" applyFill="1" applyBorder="1" applyAlignment="1">
      <alignment horizontal="center"/>
    </xf>
    <xf numFmtId="0" fontId="0" fillId="0" borderId="120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1" xfId="0" applyFont="1" applyBorder="1" applyAlignment="1">
      <alignment horizontal="center" vertical="center" wrapText="1"/>
    </xf>
    <xf numFmtId="0" fontId="0" fillId="0" borderId="12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3" xfId="0" applyFont="1" applyBorder="1" applyAlignment="1">
      <alignment horizontal="left" wrapText="1"/>
    </xf>
    <xf numFmtId="0" fontId="0" fillId="0" borderId="36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2" xfId="0" applyFont="1" applyFill="1" applyBorder="1" applyAlignment="1">
      <alignment horizontal="center" vertical="top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7" xfId="0" applyFont="1" applyFill="1" applyBorder="1" applyAlignment="1">
      <alignment horizontal="center" vertical="center"/>
    </xf>
    <xf numFmtId="0" fontId="14" fillId="3" borderId="94" xfId="0" applyFont="1" applyFill="1" applyBorder="1"/>
    <xf numFmtId="0" fontId="14" fillId="3" borderId="114" xfId="0" applyFont="1" applyFill="1" applyBorder="1"/>
    <xf numFmtId="166" fontId="14" fillId="10" borderId="107" xfId="0" applyNumberFormat="1" applyFont="1" applyFill="1" applyBorder="1" applyAlignment="1">
      <alignment horizontal="center" vertical="center"/>
    </xf>
    <xf numFmtId="0" fontId="14" fillId="10" borderId="109" xfId="0" applyFont="1" applyFill="1" applyBorder="1" applyAlignment="1">
      <alignment horizontal="center" vertical="center"/>
    </xf>
    <xf numFmtId="0" fontId="14" fillId="3" borderId="111" xfId="0" applyFont="1" applyFill="1" applyBorder="1"/>
    <xf numFmtId="0" fontId="14" fillId="3" borderId="116" xfId="0" applyFont="1" applyFill="1" applyBorder="1"/>
    <xf numFmtId="2" fontId="14" fillId="9" borderId="96" xfId="0" applyNumberFormat="1" applyFont="1" applyFill="1" applyBorder="1" applyAlignment="1">
      <alignment horizontal="center" vertical="center"/>
    </xf>
    <xf numFmtId="164" fontId="14" fillId="9" borderId="96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6" xfId="0" applyFont="1" applyFill="1" applyBorder="1" applyAlignment="1">
      <alignment horizontal="center" vertical="center"/>
    </xf>
    <xf numFmtId="0" fontId="14" fillId="3" borderId="110" xfId="0" applyFont="1" applyFill="1" applyBorder="1"/>
    <xf numFmtId="0" fontId="14" fillId="3" borderId="113" xfId="0" applyFont="1" applyFill="1" applyBorder="1"/>
    <xf numFmtId="2" fontId="14" fillId="9" borderId="107" xfId="0" applyNumberFormat="1" applyFont="1" applyFill="1" applyBorder="1" applyAlignment="1">
      <alignment horizontal="center" vertical="center"/>
    </xf>
    <xf numFmtId="0" fontId="14" fillId="3" borderId="112" xfId="0" applyFont="1" applyFill="1" applyBorder="1"/>
    <xf numFmtId="164" fontId="14" fillId="9" borderId="107" xfId="0" applyNumberFormat="1" applyFont="1" applyFill="1" applyBorder="1" applyAlignment="1">
      <alignment horizontal="center" vertical="center"/>
    </xf>
    <xf numFmtId="164" fontId="14" fillId="10" borderId="107" xfId="0" applyNumberFormat="1" applyFont="1" applyFill="1" applyBorder="1" applyAlignment="1">
      <alignment horizontal="center" vertical="center"/>
    </xf>
    <xf numFmtId="164" fontId="14" fillId="0" borderId="91" xfId="0" applyNumberFormat="1" applyFont="1" applyFill="1" applyBorder="1" applyAlignment="1">
      <alignment horizontal="center" vertical="center"/>
    </xf>
    <xf numFmtId="0" fontId="14" fillId="0" borderId="94" xfId="0" applyFont="1" applyFill="1" applyBorder="1"/>
    <xf numFmtId="0" fontId="14" fillId="0" borderId="100" xfId="0" applyFont="1" applyFill="1" applyBorder="1"/>
    <xf numFmtId="165" fontId="14" fillId="0" borderId="91" xfId="0" applyNumberFormat="1" applyFont="1" applyFill="1" applyBorder="1" applyAlignment="1">
      <alignment horizontal="center" vertical="center"/>
    </xf>
    <xf numFmtId="0" fontId="14" fillId="0" borderId="91" xfId="0" applyFont="1" applyFill="1" applyBorder="1" applyAlignment="1">
      <alignment horizontal="center" vertical="center"/>
    </xf>
    <xf numFmtId="0" fontId="14" fillId="0" borderId="97" xfId="0" applyFont="1" applyFill="1" applyBorder="1" applyAlignment="1">
      <alignment horizontal="center" vertical="center"/>
    </xf>
    <xf numFmtId="0" fontId="14" fillId="0" borderId="99" xfId="0" applyFont="1" applyFill="1" applyBorder="1"/>
    <xf numFmtId="0" fontId="14" fillId="0" borderId="102" xfId="0" applyFont="1" applyFill="1" applyBorder="1"/>
    <xf numFmtId="0" fontId="4" fillId="8" borderId="103" xfId="0" applyFont="1" applyFill="1" applyBorder="1" applyAlignment="1">
      <alignment horizontal="center" vertical="center" textRotation="90"/>
    </xf>
    <xf numFmtId="0" fontId="4" fillId="8" borderId="104" xfId="0" applyFont="1" applyFill="1" applyBorder="1" applyAlignment="1">
      <alignment horizontal="center" vertical="center" textRotation="90"/>
    </xf>
    <xf numFmtId="0" fontId="4" fillId="8" borderId="105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5" xfId="0" applyFont="1" applyFill="1" applyBorder="1" applyAlignment="1">
      <alignment horizontal="center" vertical="center"/>
    </xf>
    <xf numFmtId="0" fontId="14" fillId="0" borderId="72" xfId="0" applyFont="1" applyFill="1" applyBorder="1"/>
    <xf numFmtId="0" fontId="14" fillId="0" borderId="79" xfId="0" applyFont="1" applyFill="1" applyBorder="1"/>
    <xf numFmtId="2" fontId="14" fillId="0" borderId="91" xfId="0" applyNumberFormat="1" applyFont="1" applyFill="1" applyBorder="1" applyAlignment="1">
      <alignment horizontal="center" vertical="center"/>
    </xf>
    <xf numFmtId="0" fontId="14" fillId="7" borderId="42" xfId="0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/>
    </xf>
    <xf numFmtId="0" fontId="14" fillId="7" borderId="42" xfId="0" applyFont="1" applyFill="1" applyBorder="1" applyAlignment="1">
      <alignment horizontal="center"/>
    </xf>
    <xf numFmtId="0" fontId="14" fillId="0" borderId="42" xfId="0" applyFont="1" applyBorder="1"/>
    <xf numFmtId="0" fontId="14" fillId="0" borderId="43" xfId="0" applyFont="1" applyBorder="1"/>
    <xf numFmtId="0" fontId="17" fillId="6" borderId="75" xfId="0" applyFont="1" applyFill="1" applyBorder="1" applyAlignment="1">
      <alignment horizontal="center" vertical="center" wrapText="1"/>
    </xf>
    <xf numFmtId="0" fontId="14" fillId="0" borderId="72" xfId="0" applyFont="1" applyBorder="1"/>
    <xf numFmtId="0" fontId="17" fillId="6" borderId="91" xfId="0" applyFont="1" applyFill="1" applyBorder="1" applyAlignment="1">
      <alignment horizontal="center" vertical="center" wrapText="1"/>
    </xf>
    <xf numFmtId="0" fontId="14" fillId="0" borderId="94" xfId="0" applyFont="1" applyBorder="1"/>
    <xf numFmtId="0" fontId="17" fillId="6" borderId="91" xfId="0" applyFont="1" applyFill="1" applyBorder="1" applyAlignment="1">
      <alignment horizontal="center" vertical="center"/>
    </xf>
    <xf numFmtId="0" fontId="17" fillId="6" borderId="51" xfId="0" applyFont="1" applyFill="1" applyBorder="1" applyAlignment="1">
      <alignment horizontal="center" vertical="center"/>
    </xf>
    <xf numFmtId="0" fontId="14" fillId="0" borderId="39" xfId="0" applyFont="1" applyBorder="1"/>
    <xf numFmtId="0" fontId="14" fillId="0" borderId="77" xfId="0" applyFont="1" applyBorder="1"/>
    <xf numFmtId="0" fontId="14" fillId="0" borderId="0" xfId="0" applyFont="1" applyBorder="1"/>
    <xf numFmtId="0" fontId="17" fillId="6" borderId="92" xfId="0" applyFont="1" applyFill="1" applyBorder="1" applyAlignment="1">
      <alignment horizontal="center" vertical="center" wrapText="1"/>
    </xf>
    <xf numFmtId="0" fontId="14" fillId="0" borderId="95" xfId="0" applyFont="1" applyBorder="1"/>
    <xf numFmtId="0" fontId="17" fillId="6" borderId="38" xfId="0" applyFont="1" applyFill="1" applyBorder="1" applyAlignment="1">
      <alignment horizontal="center" vertical="center" textRotation="90" wrapText="1"/>
    </xf>
    <xf numFmtId="0" fontId="14" fillId="0" borderId="89" xfId="0" applyFont="1" applyBorder="1"/>
    <xf numFmtId="0" fontId="14" fillId="0" borderId="41" xfId="0" applyFont="1" applyBorder="1"/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/>
    </xf>
    <xf numFmtId="0" fontId="14" fillId="7" borderId="89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0" xfId="0" applyFont="1" applyBorder="1"/>
    <xf numFmtId="0" fontId="14" fillId="7" borderId="41" xfId="0" applyFont="1" applyFill="1" applyBorder="1" applyAlignment="1">
      <alignment horizontal="center" vertical="center" wrapText="1"/>
    </xf>
    <xf numFmtId="0" fontId="2" fillId="0" borderId="82" xfId="0" applyFont="1" applyFill="1" applyBorder="1" applyAlignment="1">
      <alignment horizontal="center" vertical="center" wrapText="1"/>
    </xf>
    <xf numFmtId="0" fontId="14" fillId="0" borderId="85" xfId="0" applyFont="1" applyFill="1" applyBorder="1"/>
    <xf numFmtId="0" fontId="2" fillId="0" borderId="61" xfId="0" applyFont="1" applyFill="1" applyBorder="1" applyAlignment="1">
      <alignment horizontal="center" vertical="center"/>
    </xf>
    <xf numFmtId="0" fontId="14" fillId="0" borderId="62" xfId="0" applyFont="1" applyFill="1" applyBorder="1"/>
    <xf numFmtId="0" fontId="2" fillId="0" borderId="61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 vertical="top"/>
    </xf>
    <xf numFmtId="0" fontId="22" fillId="0" borderId="61" xfId="0" applyFont="1" applyFill="1" applyBorder="1" applyAlignment="1">
      <alignment horizontal="center" vertical="center" wrapText="1"/>
    </xf>
    <xf numFmtId="0" fontId="15" fillId="0" borderId="88" xfId="0" applyFont="1" applyFill="1" applyBorder="1"/>
    <xf numFmtId="0" fontId="2" fillId="0" borderId="80" xfId="0" applyFont="1" applyFill="1" applyBorder="1" applyAlignment="1">
      <alignment horizontal="center" vertical="center"/>
    </xf>
    <xf numFmtId="0" fontId="2" fillId="0" borderId="82" xfId="0" applyFont="1" applyFill="1" applyBorder="1" applyAlignment="1">
      <alignment horizontal="center" vertical="center"/>
    </xf>
    <xf numFmtId="0" fontId="14" fillId="0" borderId="74" xfId="0" applyFont="1" applyFill="1" applyBorder="1"/>
    <xf numFmtId="0" fontId="2" fillId="0" borderId="82" xfId="0" applyFont="1" applyFill="1" applyBorder="1" applyAlignment="1">
      <alignment horizontal="center"/>
    </xf>
    <xf numFmtId="0" fontId="2" fillId="0" borderId="52" xfId="0" applyFont="1" applyFill="1" applyBorder="1" applyAlignment="1">
      <alignment horizontal="center" vertical="top"/>
    </xf>
    <xf numFmtId="0" fontId="14" fillId="0" borderId="53" xfId="0" applyFont="1" applyFill="1" applyBorder="1"/>
    <xf numFmtId="0" fontId="22" fillId="0" borderId="64" xfId="0" applyFont="1" applyFill="1" applyBorder="1" applyAlignment="1">
      <alignment horizontal="center"/>
    </xf>
    <xf numFmtId="0" fontId="15" fillId="0" borderId="64" xfId="0" applyFont="1" applyFill="1" applyBorder="1"/>
    <xf numFmtId="0" fontId="23" fillId="0" borderId="65" xfId="0" applyFont="1" applyFill="1" applyBorder="1" applyAlignment="1">
      <alignment horizontal="center"/>
    </xf>
    <xf numFmtId="0" fontId="15" fillId="0" borderId="66" xfId="0" applyFont="1" applyFill="1" applyBorder="1"/>
    <xf numFmtId="0" fontId="15" fillId="0" borderId="67" xfId="0" applyFont="1" applyFill="1" applyBorder="1"/>
    <xf numFmtId="0" fontId="23" fillId="0" borderId="68" xfId="0" applyFont="1" applyFill="1" applyBorder="1" applyAlignment="1">
      <alignment horizontal="center"/>
    </xf>
    <xf numFmtId="0" fontId="15" fillId="0" borderId="69" xfId="0" applyFont="1" applyFill="1" applyBorder="1"/>
    <xf numFmtId="0" fontId="17" fillId="6" borderId="71" xfId="0" applyFont="1" applyFill="1" applyBorder="1" applyAlignment="1">
      <alignment horizontal="center" vertical="center" wrapText="1"/>
    </xf>
    <xf numFmtId="0" fontId="14" fillId="0" borderId="78" xfId="0" applyFont="1" applyBorder="1"/>
    <xf numFmtId="0" fontId="14" fillId="0" borderId="86" xfId="0" applyFont="1" applyBorder="1"/>
    <xf numFmtId="0" fontId="24" fillId="0" borderId="72" xfId="0" applyFont="1" applyFill="1" applyBorder="1" applyAlignment="1">
      <alignment horizontal="center" vertical="center" wrapText="1"/>
    </xf>
    <xf numFmtId="0" fontId="2" fillId="0" borderId="73" xfId="0" applyFont="1" applyFill="1" applyBorder="1" applyAlignment="1">
      <alignment horizontal="center" vertical="center"/>
    </xf>
    <xf numFmtId="0" fontId="24" fillId="0" borderId="75" xfId="0" applyFont="1" applyFill="1" applyBorder="1" applyAlignment="1">
      <alignment horizontal="center" vertical="center" wrapText="1"/>
    </xf>
    <xf numFmtId="0" fontId="2" fillId="0" borderId="76" xfId="0" applyFont="1" applyFill="1" applyBorder="1" applyAlignment="1">
      <alignment horizontal="center" vertical="center"/>
    </xf>
    <xf numFmtId="0" fontId="22" fillId="0" borderId="77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39" xfId="0" applyFont="1" applyFill="1" applyBorder="1"/>
    <xf numFmtId="0" fontId="15" fillId="0" borderId="40" xfId="0" applyFont="1" applyFill="1" applyBorder="1"/>
    <xf numFmtId="0" fontId="15" fillId="0" borderId="81" xfId="0" applyFont="1" applyFill="1" applyBorder="1"/>
    <xf numFmtId="0" fontId="15" fillId="0" borderId="42" xfId="0" applyFont="1" applyFill="1" applyBorder="1"/>
    <xf numFmtId="0" fontId="15" fillId="0" borderId="43" xfId="0" applyFont="1" applyFill="1" applyBorder="1"/>
    <xf numFmtId="0" fontId="2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vertical="center"/>
    </xf>
    <xf numFmtId="0" fontId="22" fillId="0" borderId="51" xfId="0" applyFont="1" applyFill="1" applyBorder="1" applyAlignment="1">
      <alignment horizontal="center" vertical="center"/>
    </xf>
    <xf numFmtId="0" fontId="15" fillId="0" borderId="39" xfId="0" applyFont="1" applyFill="1" applyBorder="1" applyAlignment="1">
      <alignment vertical="center"/>
    </xf>
    <xf numFmtId="0" fontId="15" fillId="0" borderId="40" xfId="0" applyFont="1" applyFill="1" applyBorder="1" applyAlignment="1">
      <alignment vertical="center"/>
    </xf>
    <xf numFmtId="0" fontId="16" fillId="0" borderId="51" xfId="0" applyFont="1" applyFill="1" applyBorder="1" applyAlignment="1">
      <alignment horizontal="center" vertical="center"/>
    </xf>
    <xf numFmtId="0" fontId="15" fillId="0" borderId="50" xfId="0" applyFont="1" applyFill="1" applyBorder="1" applyAlignment="1">
      <alignment vertical="center"/>
    </xf>
    <xf numFmtId="0" fontId="17" fillId="6" borderId="38" xfId="0" applyFont="1" applyFill="1" applyBorder="1" applyAlignment="1">
      <alignment horizontal="center" vertical="center" wrapText="1"/>
    </xf>
    <xf numFmtId="0" fontId="2" fillId="0" borderId="52" xfId="0" applyFont="1" applyFill="1" applyBorder="1" applyAlignment="1">
      <alignment horizontal="center"/>
    </xf>
    <xf numFmtId="0" fontId="2" fillId="0" borderId="55" xfId="0" applyFont="1" applyFill="1" applyBorder="1" applyAlignment="1">
      <alignment horizontal="center" vertical="center"/>
    </xf>
    <xf numFmtId="0" fontId="14" fillId="0" borderId="55" xfId="0" applyFont="1" applyFill="1" applyBorder="1"/>
    <xf numFmtId="0" fontId="2" fillId="0" borderId="56" xfId="0" applyFont="1" applyFill="1" applyBorder="1" applyAlignment="1">
      <alignment horizontal="center" vertical="center" wrapText="1"/>
    </xf>
    <xf numFmtId="0" fontId="14" fillId="0" borderId="57" xfId="0" applyFont="1" applyFill="1" applyBorder="1"/>
    <xf numFmtId="0" fontId="14" fillId="0" borderId="58" xfId="0" applyFont="1" applyFill="1" applyBorder="1"/>
    <xf numFmtId="0" fontId="2" fillId="0" borderId="55" xfId="0" applyFont="1" applyFill="1" applyBorder="1" applyAlignment="1">
      <alignment horizontal="center" vertical="center" wrapText="1"/>
    </xf>
    <xf numFmtId="0" fontId="14" fillId="0" borderId="59" xfId="0" applyFont="1" applyFill="1" applyBorder="1"/>
    <xf numFmtId="0" fontId="13" fillId="0" borderId="39" xfId="0" applyFont="1" applyBorder="1" applyAlignment="1">
      <alignment horizontal="center" wrapText="1"/>
    </xf>
    <xf numFmtId="14" fontId="22" fillId="0" borderId="45" xfId="0" applyNumberFormat="1" applyFont="1" applyFill="1" applyBorder="1" applyAlignment="1">
      <alignment horizontal="center" vertical="center"/>
    </xf>
    <xf numFmtId="0" fontId="15" fillId="0" borderId="46" xfId="0" applyFont="1" applyFill="1" applyBorder="1"/>
    <xf numFmtId="0" fontId="22" fillId="0" borderId="45" xfId="0" applyFont="1" applyBorder="1" applyAlignment="1">
      <alignment horizontal="center" vertical="center" wrapText="1"/>
    </xf>
    <xf numFmtId="0" fontId="15" fillId="0" borderId="46" xfId="0" applyFont="1" applyBorder="1"/>
    <xf numFmtId="0" fontId="15" fillId="0" borderId="48" xfId="0" applyFont="1" applyBorder="1"/>
    <xf numFmtId="0" fontId="0" fillId="0" borderId="31" xfId="0" applyFont="1" applyBorder="1"/>
    <xf numFmtId="0" fontId="0" fillId="0" borderId="12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30" fillId="0" borderId="124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1" fillId="0" borderId="124" xfId="0" applyFont="1" applyBorder="1" applyAlignment="1">
      <alignment horizontal="center" wrapText="1"/>
    </xf>
    <xf numFmtId="0" fontId="31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30" fillId="0" borderId="25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wrapText="1"/>
    </xf>
    <xf numFmtId="0" fontId="31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7" Type="http://schemas.openxmlformats.org/officeDocument/2006/relationships/image" Target="../media/image9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10.jpg"/><Relationship Id="rId7" Type="http://schemas.openxmlformats.org/officeDocument/2006/relationships/image" Target="../media/image8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13.png"/><Relationship Id="rId5" Type="http://schemas.openxmlformats.org/officeDocument/2006/relationships/image" Target="../media/image12.jp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openxmlformats.org/officeDocument/2006/relationships/image" Target="../media/image9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8.pn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7" Type="http://schemas.openxmlformats.org/officeDocument/2006/relationships/image" Target="../media/image9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8.pn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21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429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9</xdr:col>
      <xdr:colOff>0</xdr:colOff>
      <xdr:row>37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459941"/>
          <a:ext cx="5334000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14</xdr:row>
      <xdr:rowOff>57150</xdr:rowOff>
    </xdr:from>
    <xdr:to>
      <xdr:col>9</xdr:col>
      <xdr:colOff>200025</xdr:colOff>
      <xdr:row>14</xdr:row>
      <xdr:rowOff>238125</xdr:rowOff>
    </xdr:to>
    <xdr:sp macro="" textlink="">
      <xdr:nvSpPr>
        <xdr:cNvPr id="2" name="Shape 4"/>
        <xdr:cNvSpPr txBox="1"/>
      </xdr:nvSpPr>
      <xdr:spPr>
        <a:xfrm>
          <a:off x="5667375" y="3848100"/>
          <a:ext cx="1809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</a:t>
          </a:r>
          <a:r>
            <a:rPr lang="en-US" sz="1100" b="1" i="0" u="none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𝐕𝐢</a:t>
          </a:r>
          <a:endParaRPr sz="1100" b="1" i="0" u="none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7</xdr:col>
      <xdr:colOff>104775</xdr:colOff>
      <xdr:row>84</xdr:row>
      <xdr:rowOff>0</xdr:rowOff>
    </xdr:from>
    <xdr:to>
      <xdr:col>7</xdr:col>
      <xdr:colOff>266700</xdr:colOff>
      <xdr:row>84</xdr:row>
      <xdr:rowOff>180975</xdr:rowOff>
    </xdr:to>
    <xdr:sp macro="" textlink="">
      <xdr:nvSpPr>
        <xdr:cNvPr id="3" name="Shape 15"/>
        <xdr:cNvSpPr txBox="1"/>
      </xdr:nvSpPr>
      <xdr:spPr>
        <a:xfrm>
          <a:off x="4324350" y="16211550"/>
          <a:ext cx="1619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0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10</xdr:col>
      <xdr:colOff>295275</xdr:colOff>
      <xdr:row>15</xdr:row>
      <xdr:rowOff>0</xdr:rowOff>
    </xdr:from>
    <xdr:to>
      <xdr:col>10</xdr:col>
      <xdr:colOff>457200</xdr:colOff>
      <xdr:row>15</xdr:row>
      <xdr:rowOff>200025</xdr:rowOff>
    </xdr:to>
    <xdr:sp macro="" textlink="">
      <xdr:nvSpPr>
        <xdr:cNvPr id="4" name="Shape 17"/>
        <xdr:cNvSpPr txBox="1"/>
      </xdr:nvSpPr>
      <xdr:spPr>
        <a:xfrm>
          <a:off x="6657975" y="4067175"/>
          <a:ext cx="1619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1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</xdr:col>
      <xdr:colOff>142875</xdr:colOff>
      <xdr:row>100</xdr:row>
      <xdr:rowOff>57150</xdr:rowOff>
    </xdr:from>
    <xdr:to>
      <xdr:col>5</xdr:col>
      <xdr:colOff>400050</xdr:colOff>
      <xdr:row>106</xdr:row>
      <xdr:rowOff>114300</xdr:rowOff>
    </xdr:to>
    <xdr:pic>
      <xdr:nvPicPr>
        <xdr:cNvPr id="6" name="image10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9450050"/>
          <a:ext cx="3038475" cy="1676400"/>
        </a:xfrm>
        <a:prstGeom prst="rect">
          <a:avLst/>
        </a:prstGeom>
        <a:noFill/>
      </xdr:spPr>
    </xdr:pic>
    <xdr:clientData fLocksWithSheet="0"/>
  </xdr:twoCellAnchor>
  <xdr:twoCellAnchor>
    <xdr:from>
      <xdr:col>6</xdr:col>
      <xdr:colOff>295275</xdr:colOff>
      <xdr:row>100</xdr:row>
      <xdr:rowOff>57150</xdr:rowOff>
    </xdr:from>
    <xdr:to>
      <xdr:col>10</xdr:col>
      <xdr:colOff>438150</xdr:colOff>
      <xdr:row>106</xdr:row>
      <xdr:rowOff>114300</xdr:rowOff>
    </xdr:to>
    <xdr:pic>
      <xdr:nvPicPr>
        <xdr:cNvPr id="7" name="image1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00475" y="19450050"/>
          <a:ext cx="3000375" cy="167640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1</xdr:col>
      <xdr:colOff>157199</xdr:colOff>
      <xdr:row>109</xdr:row>
      <xdr:rowOff>30178</xdr:rowOff>
    </xdr:from>
    <xdr:to>
      <xdr:col>5</xdr:col>
      <xdr:colOff>615848</xdr:colOff>
      <xdr:row>109</xdr:row>
      <xdr:rowOff>1852650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24" y="21928153"/>
          <a:ext cx="3239949" cy="1822472"/>
        </a:xfrm>
        <a:prstGeom prst="rect">
          <a:avLst/>
        </a:prstGeom>
      </xdr:spPr>
    </xdr:pic>
    <xdr:clientData/>
  </xdr:twoCellAnchor>
  <xdr:twoCellAnchor editAs="oneCell">
    <xdr:from>
      <xdr:col>12</xdr:col>
      <xdr:colOff>666844</xdr:colOff>
      <xdr:row>109</xdr:row>
      <xdr:rowOff>39607</xdr:rowOff>
    </xdr:from>
    <xdr:to>
      <xdr:col>14</xdr:col>
      <xdr:colOff>260588</xdr:colOff>
      <xdr:row>109</xdr:row>
      <xdr:rowOff>1857375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94" y="21937582"/>
          <a:ext cx="1022494" cy="1817768"/>
        </a:xfrm>
        <a:prstGeom prst="rect">
          <a:avLst/>
        </a:prstGeom>
      </xdr:spPr>
    </xdr:pic>
    <xdr:clientData/>
  </xdr:twoCellAnchor>
  <xdr:twoCellAnchor editAs="oneCell">
    <xdr:from>
      <xdr:col>6</xdr:col>
      <xdr:colOff>190499</xdr:colOff>
      <xdr:row>109</xdr:row>
      <xdr:rowOff>34903</xdr:rowOff>
    </xdr:from>
    <xdr:to>
      <xdr:col>10</xdr:col>
      <xdr:colOff>572948</xdr:colOff>
      <xdr:row>109</xdr:row>
      <xdr:rowOff>1857375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699" y="21932878"/>
          <a:ext cx="3239949" cy="1822472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78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5537</xdr:rowOff>
    </xdr:from>
    <xdr:to>
      <xdr:col>3</xdr:col>
      <xdr:colOff>400050</xdr:colOff>
      <xdr:row>2</xdr:row>
      <xdr:rowOff>318745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62687"/>
          <a:ext cx="1495425" cy="6942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28575</xdr:rowOff>
    </xdr:from>
    <xdr:to>
      <xdr:col>15</xdr:col>
      <xdr:colOff>350543</xdr:colOff>
      <xdr:row>2</xdr:row>
      <xdr:rowOff>304800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85725"/>
          <a:ext cx="670277" cy="6572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14</xdr:row>
      <xdr:rowOff>57150</xdr:rowOff>
    </xdr:from>
    <xdr:to>
      <xdr:col>9</xdr:col>
      <xdr:colOff>200025</xdr:colOff>
      <xdr:row>14</xdr:row>
      <xdr:rowOff>238125</xdr:rowOff>
    </xdr:to>
    <xdr:sp macro="" textlink="">
      <xdr:nvSpPr>
        <xdr:cNvPr id="2" name="Shape 3"/>
        <xdr:cNvSpPr txBox="1"/>
      </xdr:nvSpPr>
      <xdr:spPr>
        <a:xfrm>
          <a:off x="5667375" y="3848100"/>
          <a:ext cx="1809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</a:t>
          </a:r>
          <a:r>
            <a:rPr lang="en-US" sz="1100" b="1" i="0" u="none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𝐕𝐢</a:t>
          </a:r>
          <a:endParaRPr sz="1100" b="1" i="0" u="none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7</xdr:col>
      <xdr:colOff>104775</xdr:colOff>
      <xdr:row>79</xdr:row>
      <xdr:rowOff>0</xdr:rowOff>
    </xdr:from>
    <xdr:to>
      <xdr:col>7</xdr:col>
      <xdr:colOff>266700</xdr:colOff>
      <xdr:row>79</xdr:row>
      <xdr:rowOff>180975</xdr:rowOff>
    </xdr:to>
    <xdr:sp macro="" textlink="">
      <xdr:nvSpPr>
        <xdr:cNvPr id="3" name="Shape 12"/>
        <xdr:cNvSpPr txBox="1"/>
      </xdr:nvSpPr>
      <xdr:spPr>
        <a:xfrm>
          <a:off x="4324350" y="15354300"/>
          <a:ext cx="1619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0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10</xdr:col>
      <xdr:colOff>295275</xdr:colOff>
      <xdr:row>15</xdr:row>
      <xdr:rowOff>0</xdr:rowOff>
    </xdr:from>
    <xdr:to>
      <xdr:col>10</xdr:col>
      <xdr:colOff>457200</xdr:colOff>
      <xdr:row>15</xdr:row>
      <xdr:rowOff>200025</xdr:rowOff>
    </xdr:to>
    <xdr:sp macro="" textlink="">
      <xdr:nvSpPr>
        <xdr:cNvPr id="4" name="Shape 14"/>
        <xdr:cNvSpPr txBox="1"/>
      </xdr:nvSpPr>
      <xdr:spPr>
        <a:xfrm>
          <a:off x="6657975" y="4067175"/>
          <a:ext cx="1619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1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</xdr:col>
      <xdr:colOff>142875</xdr:colOff>
      <xdr:row>95</xdr:row>
      <xdr:rowOff>57150</xdr:rowOff>
    </xdr:from>
    <xdr:to>
      <xdr:col>5</xdr:col>
      <xdr:colOff>400050</xdr:colOff>
      <xdr:row>101</xdr:row>
      <xdr:rowOff>114300</xdr:rowOff>
    </xdr:to>
    <xdr:pic>
      <xdr:nvPicPr>
        <xdr:cNvPr id="6" name="image1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8592800"/>
          <a:ext cx="3038475" cy="1676400"/>
        </a:xfrm>
        <a:prstGeom prst="rect">
          <a:avLst/>
        </a:prstGeom>
        <a:noFill/>
      </xdr:spPr>
    </xdr:pic>
    <xdr:clientData fLocksWithSheet="0"/>
  </xdr:twoCellAnchor>
  <xdr:twoCellAnchor>
    <xdr:from>
      <xdr:col>6</xdr:col>
      <xdr:colOff>295275</xdr:colOff>
      <xdr:row>95</xdr:row>
      <xdr:rowOff>57150</xdr:rowOff>
    </xdr:from>
    <xdr:to>
      <xdr:col>10</xdr:col>
      <xdr:colOff>438150</xdr:colOff>
      <xdr:row>101</xdr:row>
      <xdr:rowOff>114300</xdr:rowOff>
    </xdr:to>
    <xdr:pic>
      <xdr:nvPicPr>
        <xdr:cNvPr id="7" name="image14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00475" y="18592800"/>
          <a:ext cx="3000375" cy="16764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685800</xdr:colOff>
      <xdr:row>104</xdr:row>
      <xdr:rowOff>47625</xdr:rowOff>
    </xdr:from>
    <xdr:to>
      <xdr:col>8</xdr:col>
      <xdr:colOff>304800</xdr:colOff>
      <xdr:row>104</xdr:row>
      <xdr:rowOff>1952625</xdr:rowOff>
    </xdr:to>
    <xdr:pic>
      <xdr:nvPicPr>
        <xdr:cNvPr id="8" name="image13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62250" y="21088350"/>
          <a:ext cx="2476500" cy="190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66675</xdr:colOff>
      <xdr:row>104</xdr:row>
      <xdr:rowOff>38100</xdr:rowOff>
    </xdr:from>
    <xdr:to>
      <xdr:col>4</xdr:col>
      <xdr:colOff>38100</xdr:colOff>
      <xdr:row>104</xdr:row>
      <xdr:rowOff>1943100</xdr:rowOff>
    </xdr:to>
    <xdr:pic>
      <xdr:nvPicPr>
        <xdr:cNvPr id="9" name="image15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14375" y="21078825"/>
          <a:ext cx="1400175" cy="1905000"/>
        </a:xfrm>
        <a:prstGeom prst="rect">
          <a:avLst/>
        </a:prstGeom>
        <a:noFill/>
      </xdr:spPr>
    </xdr:pic>
    <xdr:clientData fLocksWithSheet="0"/>
  </xdr:twoCellAnchor>
  <xdr:twoCellAnchor>
    <xdr:from>
      <xdr:col>11</xdr:col>
      <xdr:colOff>628650</xdr:colOff>
      <xdr:row>104</xdr:row>
      <xdr:rowOff>76200</xdr:rowOff>
    </xdr:from>
    <xdr:to>
      <xdr:col>15</xdr:col>
      <xdr:colOff>247650</xdr:colOff>
      <xdr:row>104</xdr:row>
      <xdr:rowOff>1981200</xdr:rowOff>
    </xdr:to>
    <xdr:pic>
      <xdr:nvPicPr>
        <xdr:cNvPr id="10" name="image16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705725" y="21116925"/>
          <a:ext cx="2476500" cy="19050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161925</xdr:colOff>
      <xdr:row>104</xdr:row>
      <xdr:rowOff>76200</xdr:rowOff>
    </xdr:from>
    <xdr:to>
      <xdr:col>11</xdr:col>
      <xdr:colOff>142875</xdr:colOff>
      <xdr:row>104</xdr:row>
      <xdr:rowOff>1990725</xdr:rowOff>
    </xdr:to>
    <xdr:pic>
      <xdr:nvPicPr>
        <xdr:cNvPr id="11" name="image17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810250" y="21116925"/>
          <a:ext cx="1409700" cy="1914525"/>
        </a:xfrm>
        <a:prstGeom prst="rect">
          <a:avLst/>
        </a:prstGeom>
        <a:noFill/>
      </xdr:spPr>
    </xdr:pic>
    <xdr:clientData fLocksWithSheet="0"/>
  </xdr:twoCellAnchor>
  <xdr:oneCellAnchor>
    <xdr:from>
      <xdr:col>4</xdr:col>
      <xdr:colOff>707523</xdr:colOff>
      <xdr:row>73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5537</xdr:rowOff>
    </xdr:from>
    <xdr:to>
      <xdr:col>3</xdr:col>
      <xdr:colOff>400050</xdr:colOff>
      <xdr:row>2</xdr:row>
      <xdr:rowOff>318745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62687"/>
          <a:ext cx="1495425" cy="6942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3</xdr:row>
      <xdr:rowOff>0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710091" y="104775"/>
          <a:ext cx="670277" cy="647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89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70793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76485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105</xdr:row>
      <xdr:rowOff>104321</xdr:rowOff>
    </xdr:from>
    <xdr:to>
      <xdr:col>5</xdr:col>
      <xdr:colOff>408063</xdr:colOff>
      <xdr:row>111</xdr:row>
      <xdr:rowOff>291119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354471"/>
          <a:ext cx="3041196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105</xdr:row>
      <xdr:rowOff>90714</xdr:rowOff>
    </xdr:from>
    <xdr:to>
      <xdr:col>10</xdr:col>
      <xdr:colOff>350668</xdr:colOff>
      <xdr:row>111</xdr:row>
      <xdr:rowOff>277512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0340864"/>
          <a:ext cx="3007085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38667</xdr:colOff>
      <xdr:row>114</xdr:row>
      <xdr:rowOff>67139</xdr:rowOff>
    </xdr:from>
    <xdr:to>
      <xdr:col>10</xdr:col>
      <xdr:colOff>342899</xdr:colOff>
      <xdr:row>114</xdr:row>
      <xdr:rowOff>1986001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8242" y="22841414"/>
          <a:ext cx="2542607" cy="1918862"/>
        </a:xfrm>
        <a:prstGeom prst="rect">
          <a:avLst/>
        </a:prstGeom>
      </xdr:spPr>
    </xdr:pic>
    <xdr:clientData/>
  </xdr:twoCellAnchor>
  <xdr:twoCellAnchor editAs="oneCell">
    <xdr:from>
      <xdr:col>11</xdr:col>
      <xdr:colOff>516751</xdr:colOff>
      <xdr:row>114</xdr:row>
      <xdr:rowOff>37223</xdr:rowOff>
    </xdr:from>
    <xdr:to>
      <xdr:col>15</xdr:col>
      <xdr:colOff>196566</xdr:colOff>
      <xdr:row>114</xdr:row>
      <xdr:rowOff>1956085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9076" y="22811498"/>
          <a:ext cx="2537315" cy="1918862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412750</xdr:colOff>
      <xdr:row>114</xdr:row>
      <xdr:rowOff>81389</xdr:rowOff>
    </xdr:from>
    <xdr:to>
      <xdr:col>5</xdr:col>
      <xdr:colOff>177232</xdr:colOff>
      <xdr:row>114</xdr:row>
      <xdr:rowOff>2000251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75" y="22855664"/>
          <a:ext cx="2545782" cy="1918862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71009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124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3080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76485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140</xdr:row>
      <xdr:rowOff>63500</xdr:rowOff>
    </xdr:from>
    <xdr:to>
      <xdr:col>5</xdr:col>
      <xdr:colOff>408063</xdr:colOff>
      <xdr:row>146</xdr:row>
      <xdr:rowOff>246895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6314400"/>
          <a:ext cx="3041196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140</xdr:row>
      <xdr:rowOff>63500</xdr:rowOff>
    </xdr:from>
    <xdr:to>
      <xdr:col>10</xdr:col>
      <xdr:colOff>350668</xdr:colOff>
      <xdr:row>146</xdr:row>
      <xdr:rowOff>246895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6314400"/>
          <a:ext cx="3007085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376272</xdr:colOff>
      <xdr:row>149</xdr:row>
      <xdr:rowOff>25032</xdr:rowOff>
    </xdr:from>
    <xdr:to>
      <xdr:col>5</xdr:col>
      <xdr:colOff>195297</xdr:colOff>
      <xdr:row>149</xdr:row>
      <xdr:rowOff>1975276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85797" y="28800057"/>
          <a:ext cx="2600325" cy="1950244"/>
        </a:xfrm>
        <a:prstGeom prst="rect">
          <a:avLst/>
        </a:prstGeom>
      </xdr:spPr>
    </xdr:pic>
    <xdr:clientData/>
  </xdr:twoCellAnchor>
  <xdr:twoCellAnchor editAs="oneCell">
    <xdr:from>
      <xdr:col>11</xdr:col>
      <xdr:colOff>621522</xdr:colOff>
      <xdr:row>149</xdr:row>
      <xdr:rowOff>51207</xdr:rowOff>
    </xdr:from>
    <xdr:to>
      <xdr:col>15</xdr:col>
      <xdr:colOff>364347</xdr:colOff>
      <xdr:row>149</xdr:row>
      <xdr:rowOff>2001451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793847" y="28826232"/>
          <a:ext cx="2600325" cy="1950244"/>
        </a:xfrm>
        <a:prstGeom prst="rect">
          <a:avLst/>
        </a:prstGeom>
      </xdr:spPr>
    </xdr:pic>
    <xdr:clientData/>
  </xdr:twoCellAnchor>
  <xdr:twoCellAnchor editAs="oneCell">
    <xdr:from>
      <xdr:col>6</xdr:col>
      <xdr:colOff>514349</xdr:colOff>
      <xdr:row>149</xdr:row>
      <xdr:rowOff>20232</xdr:rowOff>
    </xdr:from>
    <xdr:to>
      <xdr:col>10</xdr:col>
      <xdr:colOff>161924</xdr:colOff>
      <xdr:row>149</xdr:row>
      <xdr:rowOff>1970476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49" y="28795257"/>
          <a:ext cx="2600325" cy="1950244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121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121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121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121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121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topLeftCell="A19" zoomScale="85" zoomScaleNormal="85" workbookViewId="0">
      <selection activeCell="H41" sqref="H41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91" t="s">
        <v>38</v>
      </c>
      <c r="C2" s="191"/>
      <c r="D2" s="191"/>
      <c r="E2" s="191"/>
      <c r="F2" s="191"/>
      <c r="G2" s="191"/>
      <c r="H2" s="191"/>
      <c r="I2" s="191"/>
      <c r="J2" s="191"/>
    </row>
    <row r="3" spans="2:10" ht="6.75" customHeight="1" x14ac:dyDescent="0.25">
      <c r="B3" s="193"/>
      <c r="C3" s="194"/>
      <c r="D3" s="194"/>
      <c r="E3" s="194"/>
      <c r="F3" s="194"/>
      <c r="G3" s="194"/>
      <c r="H3" s="194"/>
      <c r="I3" s="194"/>
      <c r="J3" s="195"/>
    </row>
    <row r="4" spans="2:10" x14ac:dyDescent="0.25">
      <c r="B4" s="196"/>
      <c r="C4" s="192"/>
      <c r="D4" s="192"/>
      <c r="E4" s="192"/>
      <c r="F4" s="192"/>
      <c r="G4" s="192"/>
      <c r="H4" s="192"/>
      <c r="I4" s="192"/>
      <c r="J4" s="198"/>
    </row>
    <row r="5" spans="2:10" x14ac:dyDescent="0.25">
      <c r="B5" s="196"/>
      <c r="C5" s="192"/>
      <c r="D5" s="192"/>
      <c r="E5" s="192"/>
      <c r="F5" s="192"/>
      <c r="G5" s="192"/>
      <c r="H5" s="192"/>
      <c r="I5" s="192"/>
      <c r="J5" s="198"/>
    </row>
    <row r="6" spans="2:10" x14ac:dyDescent="0.25">
      <c r="B6" s="196"/>
      <c r="C6" s="192"/>
      <c r="D6" s="192"/>
      <c r="E6" s="192"/>
      <c r="F6" s="192"/>
      <c r="G6" s="192"/>
      <c r="H6" s="192"/>
      <c r="I6" s="192"/>
      <c r="J6" s="198"/>
    </row>
    <row r="7" spans="2:10" x14ac:dyDescent="0.25">
      <c r="B7" s="196"/>
      <c r="C7" s="192"/>
      <c r="D7" s="192"/>
      <c r="E7" s="192"/>
      <c r="F7" s="192"/>
      <c r="G7" s="192"/>
      <c r="H7" s="192"/>
      <c r="I7" s="192"/>
      <c r="J7" s="198"/>
    </row>
    <row r="8" spans="2:10" x14ac:dyDescent="0.25">
      <c r="B8" s="196"/>
      <c r="C8" s="192"/>
      <c r="D8" s="192"/>
      <c r="E8" s="192"/>
      <c r="F8" s="192"/>
      <c r="G8" s="192"/>
      <c r="H8" s="192"/>
      <c r="I8" s="192"/>
      <c r="J8" s="198"/>
    </row>
    <row r="9" spans="2:10" x14ac:dyDescent="0.25">
      <c r="B9" s="196"/>
      <c r="C9" s="192"/>
      <c r="D9" s="192"/>
      <c r="E9" s="192"/>
      <c r="F9" s="192"/>
      <c r="G9" s="192"/>
      <c r="H9" s="192"/>
      <c r="I9" s="192"/>
      <c r="J9" s="198"/>
    </row>
    <row r="10" spans="2:10" x14ac:dyDescent="0.25">
      <c r="B10" s="196"/>
      <c r="C10" s="192"/>
      <c r="D10" s="192"/>
      <c r="E10" s="192"/>
      <c r="F10" s="192"/>
      <c r="G10" s="192"/>
      <c r="H10" s="192"/>
      <c r="I10" s="192"/>
      <c r="J10" s="198"/>
    </row>
    <row r="11" spans="2:10" x14ac:dyDescent="0.25">
      <c r="B11" s="196"/>
      <c r="C11" s="192"/>
      <c r="D11" s="192"/>
      <c r="E11" s="192"/>
      <c r="F11" s="192"/>
      <c r="G11" s="192"/>
      <c r="H11" s="192"/>
      <c r="I11" s="192"/>
      <c r="J11" s="198"/>
    </row>
    <row r="12" spans="2:10" x14ac:dyDescent="0.25">
      <c r="B12" s="196"/>
      <c r="C12" s="192"/>
      <c r="D12" s="192"/>
      <c r="E12" s="192"/>
      <c r="F12" s="192"/>
      <c r="G12" s="192"/>
      <c r="H12" s="192"/>
      <c r="I12" s="192"/>
      <c r="J12" s="198"/>
    </row>
    <row r="13" spans="2:10" x14ac:dyDescent="0.25">
      <c r="B13" s="196"/>
      <c r="C13" s="192"/>
      <c r="D13" s="192"/>
      <c r="E13" s="192"/>
      <c r="F13" s="192"/>
      <c r="G13" s="192"/>
      <c r="H13" s="192"/>
      <c r="I13" s="192"/>
      <c r="J13" s="198"/>
    </row>
    <row r="14" spans="2:10" x14ac:dyDescent="0.25">
      <c r="B14" s="196"/>
      <c r="C14" s="192"/>
      <c r="D14" s="192"/>
      <c r="E14" s="192"/>
      <c r="F14" s="192"/>
      <c r="G14" s="192"/>
      <c r="H14" s="192"/>
      <c r="I14" s="192"/>
      <c r="J14" s="198"/>
    </row>
    <row r="15" spans="2:10" x14ac:dyDescent="0.25">
      <c r="B15" s="196"/>
      <c r="C15" s="192"/>
      <c r="D15" s="192"/>
      <c r="E15" s="192"/>
      <c r="F15" s="192"/>
      <c r="G15" s="192"/>
      <c r="H15" s="192"/>
      <c r="I15" s="192"/>
      <c r="J15" s="198"/>
    </row>
    <row r="16" spans="2:10" x14ac:dyDescent="0.25">
      <c r="B16" s="196"/>
      <c r="C16" s="192"/>
      <c r="D16" s="192"/>
      <c r="E16" s="192"/>
      <c r="F16" s="192"/>
      <c r="G16" s="192"/>
      <c r="H16" s="192"/>
      <c r="I16" s="192"/>
      <c r="J16" s="198"/>
    </row>
    <row r="17" spans="2:10" x14ac:dyDescent="0.25">
      <c r="B17" s="196"/>
      <c r="C17" s="192"/>
      <c r="D17" s="192"/>
      <c r="E17" s="192"/>
      <c r="F17" s="192"/>
      <c r="G17" s="192"/>
      <c r="H17" s="192"/>
      <c r="I17" s="192"/>
      <c r="J17" s="198"/>
    </row>
    <row r="18" spans="2:10" x14ac:dyDescent="0.25">
      <c r="B18" s="196"/>
      <c r="C18" s="192"/>
      <c r="D18" s="192"/>
      <c r="E18" s="192"/>
      <c r="F18" s="192"/>
      <c r="G18" s="192"/>
      <c r="H18" s="192"/>
      <c r="I18" s="192"/>
      <c r="J18" s="198"/>
    </row>
    <row r="19" spans="2:10" x14ac:dyDescent="0.25">
      <c r="B19" s="196"/>
      <c r="C19" s="192"/>
      <c r="D19" s="192"/>
      <c r="E19" s="192"/>
      <c r="F19" s="192"/>
      <c r="G19" s="192"/>
      <c r="H19" s="192"/>
      <c r="I19" s="192"/>
      <c r="J19" s="198"/>
    </row>
    <row r="20" spans="2:10" x14ac:dyDescent="0.25">
      <c r="B20" s="196"/>
      <c r="C20" s="192"/>
      <c r="D20" s="192"/>
      <c r="E20" s="192"/>
      <c r="F20" s="192"/>
      <c r="G20" s="192"/>
      <c r="H20" s="192"/>
      <c r="I20" s="192"/>
      <c r="J20" s="198"/>
    </row>
    <row r="21" spans="2:10" x14ac:dyDescent="0.25">
      <c r="B21" s="196"/>
      <c r="C21" s="192"/>
      <c r="D21" s="192"/>
      <c r="E21" s="192"/>
      <c r="F21" s="192"/>
      <c r="G21" s="192"/>
      <c r="H21" s="192"/>
      <c r="I21" s="192"/>
      <c r="J21" s="198"/>
    </row>
    <row r="22" spans="2:10" ht="6.75" customHeight="1" x14ac:dyDescent="0.25">
      <c r="B22" s="197"/>
      <c r="C22" s="200"/>
      <c r="D22" s="200"/>
      <c r="E22" s="200"/>
      <c r="F22" s="200"/>
      <c r="G22" s="200"/>
      <c r="H22" s="200"/>
      <c r="I22" s="200"/>
      <c r="J22" s="199"/>
    </row>
    <row r="23" spans="2:10" x14ac:dyDescent="0.25">
      <c r="B23" s="1"/>
      <c r="C23" s="1"/>
      <c r="D23" s="1"/>
      <c r="E23" s="1"/>
      <c r="F23" s="1"/>
      <c r="G23" s="1"/>
      <c r="H23" s="1"/>
      <c r="I23" s="1"/>
    </row>
    <row r="24" spans="2:10" x14ac:dyDescent="0.25">
      <c r="B24" s="191" t="s">
        <v>39</v>
      </c>
      <c r="C24" s="191"/>
      <c r="D24" s="191"/>
      <c r="E24" s="191"/>
      <c r="F24" s="191"/>
      <c r="G24" s="191"/>
      <c r="H24" s="191"/>
      <c r="I24" s="191"/>
      <c r="J24" s="191"/>
    </row>
    <row r="25" spans="2:10" ht="6.75" customHeight="1" x14ac:dyDescent="0.25">
      <c r="B25" s="193"/>
      <c r="C25" s="194"/>
      <c r="D25" s="194"/>
      <c r="E25" s="194"/>
      <c r="F25" s="194"/>
      <c r="G25" s="194"/>
      <c r="H25" s="194"/>
      <c r="I25" s="194"/>
      <c r="J25" s="195"/>
    </row>
    <row r="26" spans="2:10" x14ac:dyDescent="0.25">
      <c r="B26" s="196"/>
      <c r="C26" s="192"/>
      <c r="D26" s="192"/>
      <c r="E26" s="192"/>
      <c r="F26" s="192"/>
      <c r="G26" s="192"/>
      <c r="H26" s="192"/>
      <c r="I26" s="192"/>
      <c r="J26" s="198"/>
    </row>
    <row r="27" spans="2:10" x14ac:dyDescent="0.25">
      <c r="B27" s="196"/>
      <c r="C27" s="192"/>
      <c r="D27" s="192"/>
      <c r="E27" s="192"/>
      <c r="F27" s="192"/>
      <c r="G27" s="192"/>
      <c r="H27" s="192"/>
      <c r="I27" s="192"/>
      <c r="J27" s="198"/>
    </row>
    <row r="28" spans="2:10" x14ac:dyDescent="0.25">
      <c r="B28" s="196"/>
      <c r="C28" s="192"/>
      <c r="D28" s="192"/>
      <c r="E28" s="192"/>
      <c r="F28" s="192"/>
      <c r="G28" s="192"/>
      <c r="H28" s="192"/>
      <c r="I28" s="192"/>
      <c r="J28" s="198"/>
    </row>
    <row r="29" spans="2:10" x14ac:dyDescent="0.25">
      <c r="B29" s="196"/>
      <c r="C29" s="192"/>
      <c r="D29" s="192"/>
      <c r="E29" s="192"/>
      <c r="F29" s="192"/>
      <c r="G29" s="192"/>
      <c r="H29" s="192"/>
      <c r="I29" s="192"/>
      <c r="J29" s="198"/>
    </row>
    <row r="30" spans="2:10" x14ac:dyDescent="0.25">
      <c r="B30" s="196"/>
      <c r="C30" s="192"/>
      <c r="D30" s="192"/>
      <c r="E30" s="192"/>
      <c r="F30" s="192"/>
      <c r="G30" s="192"/>
      <c r="H30" s="192"/>
      <c r="I30" s="192"/>
      <c r="J30" s="198"/>
    </row>
    <row r="31" spans="2:10" x14ac:dyDescent="0.25">
      <c r="B31" s="196"/>
      <c r="C31" s="192"/>
      <c r="D31" s="192"/>
      <c r="E31" s="192"/>
      <c r="F31" s="192"/>
      <c r="G31" s="192"/>
      <c r="H31" s="192"/>
      <c r="I31" s="192"/>
      <c r="J31" s="198"/>
    </row>
    <row r="32" spans="2:10" x14ac:dyDescent="0.25">
      <c r="B32" s="196"/>
      <c r="C32" s="192"/>
      <c r="D32" s="192"/>
      <c r="E32" s="192"/>
      <c r="F32" s="192"/>
      <c r="G32" s="192"/>
      <c r="H32" s="192"/>
      <c r="I32" s="192"/>
      <c r="J32" s="198"/>
    </row>
    <row r="33" spans="2:10" x14ac:dyDescent="0.25">
      <c r="B33" s="196"/>
      <c r="C33" s="192"/>
      <c r="D33" s="192"/>
      <c r="E33" s="192"/>
      <c r="F33" s="192"/>
      <c r="G33" s="192"/>
      <c r="H33" s="192"/>
      <c r="I33" s="192"/>
      <c r="J33" s="198"/>
    </row>
    <row r="34" spans="2:10" x14ac:dyDescent="0.25">
      <c r="B34" s="196"/>
      <c r="C34" s="192"/>
      <c r="D34" s="192"/>
      <c r="E34" s="192"/>
      <c r="F34" s="192"/>
      <c r="G34" s="192"/>
      <c r="H34" s="192"/>
      <c r="I34" s="192"/>
      <c r="J34" s="198"/>
    </row>
    <row r="35" spans="2:10" x14ac:dyDescent="0.25">
      <c r="B35" s="196"/>
      <c r="C35" s="192"/>
      <c r="D35" s="192"/>
      <c r="E35" s="192"/>
      <c r="F35" s="192"/>
      <c r="G35" s="192"/>
      <c r="H35" s="192"/>
      <c r="I35" s="192"/>
      <c r="J35" s="198"/>
    </row>
    <row r="36" spans="2:10" x14ac:dyDescent="0.25">
      <c r="B36" s="196"/>
      <c r="C36" s="192"/>
      <c r="D36" s="192"/>
      <c r="E36" s="192"/>
      <c r="F36" s="192"/>
      <c r="G36" s="192"/>
      <c r="H36" s="192"/>
      <c r="I36" s="192"/>
      <c r="J36" s="198"/>
    </row>
    <row r="37" spans="2:10" x14ac:dyDescent="0.25">
      <c r="B37" s="196"/>
      <c r="C37" s="192"/>
      <c r="D37" s="192"/>
      <c r="E37" s="192"/>
      <c r="F37" s="192"/>
      <c r="G37" s="192"/>
      <c r="H37" s="192"/>
      <c r="I37" s="192"/>
      <c r="J37" s="198"/>
    </row>
    <row r="38" spans="2:10" ht="6.75" customHeight="1" x14ac:dyDescent="0.25">
      <c r="B38" s="197"/>
      <c r="C38" s="200"/>
      <c r="D38" s="200"/>
      <c r="E38" s="200"/>
      <c r="F38" s="200"/>
      <c r="G38" s="200"/>
      <c r="H38" s="200"/>
      <c r="I38" s="200"/>
      <c r="J38" s="199"/>
    </row>
  </sheetData>
  <mergeCells count="12">
    <mergeCell ref="B24:J24"/>
    <mergeCell ref="B25:J25"/>
    <mergeCell ref="B26:B38"/>
    <mergeCell ref="C26:I37"/>
    <mergeCell ref="J26:J38"/>
    <mergeCell ref="C38:I38"/>
    <mergeCell ref="B2:J2"/>
    <mergeCell ref="C4:I21"/>
    <mergeCell ref="B3:J3"/>
    <mergeCell ref="B4:B22"/>
    <mergeCell ref="J4:J22"/>
    <mergeCell ref="C22:I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zoomScaleNormal="100" workbookViewId="0">
      <selection activeCell="F12" sqref="F12:G12"/>
    </sheetView>
  </sheetViews>
  <sheetFormatPr baseColWidth="10" defaultColWidth="14.42578125" defaultRowHeight="15" customHeight="1" x14ac:dyDescent="0.25"/>
  <cols>
    <col min="1" max="1" width="0.140625" style="98" customWidth="1"/>
    <col min="2" max="2" width="9.5703125" style="98" customWidth="1"/>
    <col min="3" max="16" width="10.7109375" style="98" customWidth="1"/>
    <col min="17" max="20" width="11.42578125" style="98" customWidth="1"/>
    <col min="21" max="16384" width="14.42578125" style="98"/>
  </cols>
  <sheetData>
    <row r="1" spans="1:26" ht="4.5" customHeight="1" thickBot="1" x14ac:dyDescent="0.3">
      <c r="J1" s="99"/>
    </row>
    <row r="2" spans="1:26" s="2" customFormat="1" ht="30" customHeight="1" x14ac:dyDescent="0.25">
      <c r="A2" s="594"/>
      <c r="B2" s="595"/>
      <c r="C2" s="596"/>
      <c r="D2" s="597"/>
      <c r="E2" s="598" t="s">
        <v>144</v>
      </c>
      <c r="F2" s="599"/>
      <c r="G2" s="599"/>
      <c r="H2" s="599"/>
      <c r="I2" s="599"/>
      <c r="J2" s="599"/>
      <c r="K2" s="599"/>
      <c r="L2" s="599"/>
      <c r="M2" s="599"/>
      <c r="N2" s="599"/>
      <c r="O2" s="600"/>
      <c r="P2" s="601"/>
    </row>
    <row r="3" spans="1:26" s="2" customFormat="1" ht="25.5" customHeight="1" thickBot="1" x14ac:dyDescent="0.3">
      <c r="A3" s="594"/>
      <c r="B3" s="602"/>
      <c r="C3" s="603"/>
      <c r="D3" s="604"/>
      <c r="E3" s="605"/>
      <c r="F3" s="606"/>
      <c r="G3" s="606"/>
      <c r="H3" s="606"/>
      <c r="I3" s="606"/>
      <c r="J3" s="606"/>
      <c r="K3" s="606"/>
      <c r="L3" s="606"/>
      <c r="M3" s="606"/>
      <c r="N3" s="606"/>
      <c r="O3" s="607"/>
      <c r="P3" s="608"/>
    </row>
    <row r="4" spans="1:26" ht="11.25" customHeight="1" thickBot="1" x14ac:dyDescent="0.3">
      <c r="A4" s="100"/>
      <c r="B4" s="388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31.5" customHeight="1" thickBot="1" x14ac:dyDescent="0.3">
      <c r="A5" s="100"/>
      <c r="B5" s="102" t="s">
        <v>0</v>
      </c>
      <c r="C5" s="389">
        <v>43036</v>
      </c>
      <c r="D5" s="390"/>
      <c r="E5" s="103" t="s">
        <v>50</v>
      </c>
      <c r="F5" s="104">
        <v>1</v>
      </c>
      <c r="G5" s="105" t="s">
        <v>1</v>
      </c>
      <c r="H5" s="591" t="s">
        <v>145</v>
      </c>
      <c r="I5" s="592"/>
      <c r="J5" s="592"/>
      <c r="K5" s="592"/>
      <c r="L5" s="592"/>
      <c r="M5" s="592"/>
      <c r="N5" s="592"/>
      <c r="O5" s="592"/>
      <c r="P5" s="593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s="110" customFormat="1" ht="21.75" customHeight="1" thickBot="1" x14ac:dyDescent="0.3">
      <c r="A6" s="106"/>
      <c r="B6" s="372" t="s">
        <v>2</v>
      </c>
      <c r="C6" s="373"/>
      <c r="D6" s="374" t="s">
        <v>109</v>
      </c>
      <c r="E6" s="375"/>
      <c r="F6" s="375"/>
      <c r="G6" s="375"/>
      <c r="H6" s="375"/>
      <c r="I6" s="376"/>
      <c r="J6" s="107" t="s">
        <v>3</v>
      </c>
      <c r="K6" s="377" t="s">
        <v>110</v>
      </c>
      <c r="L6" s="376"/>
      <c r="M6" s="377" t="s">
        <v>111</v>
      </c>
      <c r="N6" s="378"/>
      <c r="O6" s="108" t="s">
        <v>51</v>
      </c>
      <c r="P6" s="109">
        <v>1773</v>
      </c>
    </row>
    <row r="7" spans="1:26" ht="21.75" customHeight="1" x14ac:dyDescent="0.25">
      <c r="B7" s="379" t="s">
        <v>52</v>
      </c>
      <c r="C7" s="380" t="s">
        <v>53</v>
      </c>
      <c r="D7" s="350"/>
      <c r="E7" s="111"/>
      <c r="F7" s="381" t="s">
        <v>54</v>
      </c>
      <c r="G7" s="382"/>
      <c r="H7" s="382"/>
      <c r="I7" s="382"/>
      <c r="J7" s="383" t="s">
        <v>55</v>
      </c>
      <c r="K7" s="384"/>
      <c r="L7" s="384"/>
      <c r="M7" s="385"/>
      <c r="N7" s="386" t="s">
        <v>112</v>
      </c>
      <c r="O7" s="387"/>
      <c r="P7" s="112" t="s">
        <v>56</v>
      </c>
    </row>
    <row r="8" spans="1:26" ht="21.75" customHeight="1" thickBot="1" x14ac:dyDescent="0.3">
      <c r="B8" s="324"/>
      <c r="C8" s="341" t="s">
        <v>57</v>
      </c>
      <c r="D8" s="340"/>
      <c r="E8" s="113" t="s">
        <v>4</v>
      </c>
      <c r="F8" s="351" t="s">
        <v>5</v>
      </c>
      <c r="G8" s="352"/>
      <c r="H8" s="352"/>
      <c r="I8" s="352"/>
      <c r="J8" s="353"/>
      <c r="K8" s="354"/>
      <c r="L8" s="354"/>
      <c r="M8" s="355"/>
      <c r="N8" s="356"/>
      <c r="O8" s="357"/>
      <c r="P8" s="114"/>
    </row>
    <row r="9" spans="1:26" ht="21.75" customHeight="1" x14ac:dyDescent="0.25">
      <c r="B9" s="358" t="s">
        <v>6</v>
      </c>
      <c r="C9" s="361" t="s">
        <v>58</v>
      </c>
      <c r="D9" s="362" t="s">
        <v>59</v>
      </c>
      <c r="E9" s="347"/>
      <c r="F9" s="115"/>
      <c r="G9" s="363" t="s">
        <v>7</v>
      </c>
      <c r="H9" s="364" t="s">
        <v>8</v>
      </c>
      <c r="I9" s="350"/>
      <c r="J9" s="116" t="s">
        <v>4</v>
      </c>
      <c r="K9" s="361" t="s">
        <v>60</v>
      </c>
      <c r="L9" s="365" t="s">
        <v>102</v>
      </c>
      <c r="M9" s="366"/>
      <c r="N9" s="367"/>
      <c r="O9" s="367"/>
      <c r="P9" s="368"/>
    </row>
    <row r="10" spans="1:26" ht="21.75" customHeight="1" thickBot="1" x14ac:dyDescent="0.3">
      <c r="B10" s="359"/>
      <c r="C10" s="307"/>
      <c r="D10" s="345" t="s">
        <v>61</v>
      </c>
      <c r="E10" s="340"/>
      <c r="F10" s="117" t="s">
        <v>4</v>
      </c>
      <c r="G10" s="307"/>
      <c r="H10" s="345" t="s">
        <v>9</v>
      </c>
      <c r="I10" s="340"/>
      <c r="J10" s="118"/>
      <c r="K10" s="307"/>
      <c r="L10" s="369"/>
      <c r="M10" s="370"/>
      <c r="N10" s="370"/>
      <c r="O10" s="370"/>
      <c r="P10" s="371"/>
    </row>
    <row r="11" spans="1:26" ht="21.75" customHeight="1" x14ac:dyDescent="0.25">
      <c r="A11" s="100"/>
      <c r="B11" s="359"/>
      <c r="C11" s="346" t="s">
        <v>10</v>
      </c>
      <c r="D11" s="347"/>
      <c r="E11" s="119">
        <v>0.4826388888888889</v>
      </c>
      <c r="F11" s="348" t="s">
        <v>11</v>
      </c>
      <c r="G11" s="347"/>
      <c r="H11" s="120">
        <v>0.56000000000000005</v>
      </c>
      <c r="I11" s="349" t="s">
        <v>12</v>
      </c>
      <c r="J11" s="350"/>
      <c r="K11" s="120">
        <v>17</v>
      </c>
      <c r="L11" s="346" t="s">
        <v>13</v>
      </c>
      <c r="M11" s="347"/>
      <c r="N11" s="121">
        <v>12</v>
      </c>
      <c r="O11" s="337" t="s">
        <v>62</v>
      </c>
      <c r="P11" s="338"/>
    </row>
    <row r="12" spans="1:26" ht="21.75" customHeight="1" thickBot="1" x14ac:dyDescent="0.3">
      <c r="A12" s="100"/>
      <c r="B12" s="360"/>
      <c r="C12" s="339" t="s">
        <v>14</v>
      </c>
      <c r="D12" s="340"/>
      <c r="E12" s="119">
        <v>0.53472222222222221</v>
      </c>
      <c r="F12" s="341" t="s">
        <v>15</v>
      </c>
      <c r="G12" s="340"/>
      <c r="H12" s="120">
        <v>0.56999999999999995</v>
      </c>
      <c r="I12" s="342" t="s">
        <v>16</v>
      </c>
      <c r="J12" s="340"/>
      <c r="K12" s="119">
        <v>0.47500000000000003</v>
      </c>
      <c r="L12" s="339" t="s">
        <v>17</v>
      </c>
      <c r="M12" s="340"/>
      <c r="N12" s="122">
        <v>1</v>
      </c>
      <c r="O12" s="343">
        <v>1.27</v>
      </c>
      <c r="P12" s="344"/>
    </row>
    <row r="13" spans="1:26" ht="21.75" customHeight="1" x14ac:dyDescent="0.25">
      <c r="A13" s="100"/>
      <c r="B13" s="322" t="s">
        <v>18</v>
      </c>
      <c r="C13" s="325" t="s">
        <v>113</v>
      </c>
      <c r="D13" s="326"/>
      <c r="E13" s="326"/>
      <c r="F13" s="327" t="s">
        <v>114</v>
      </c>
      <c r="G13" s="326"/>
      <c r="H13" s="326"/>
      <c r="I13" s="326"/>
      <c r="J13" s="327" t="s">
        <v>115</v>
      </c>
      <c r="K13" s="326"/>
      <c r="L13" s="326"/>
      <c r="M13" s="326"/>
      <c r="N13" s="328" t="s">
        <v>116</v>
      </c>
      <c r="O13" s="326"/>
      <c r="P13" s="329"/>
      <c r="Q13" s="123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 ht="21.75" customHeight="1" x14ac:dyDescent="0.25">
      <c r="A14" s="100"/>
      <c r="B14" s="323"/>
      <c r="C14" s="330" t="s">
        <v>117</v>
      </c>
      <c r="D14" s="331"/>
      <c r="E14" s="331"/>
      <c r="F14" s="332" t="s">
        <v>118</v>
      </c>
      <c r="G14" s="331"/>
      <c r="H14" s="331"/>
      <c r="I14" s="331"/>
      <c r="J14" s="333" t="s">
        <v>119</v>
      </c>
      <c r="K14" s="331"/>
      <c r="L14" s="331"/>
      <c r="M14" s="331"/>
      <c r="N14" s="334"/>
      <c r="O14" s="319"/>
      <c r="P14" s="335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21.75" customHeight="1" thickBot="1" x14ac:dyDescent="0.3">
      <c r="A15" s="100"/>
      <c r="B15" s="324"/>
      <c r="C15" s="336" t="s">
        <v>120</v>
      </c>
      <c r="D15" s="309"/>
      <c r="E15" s="309"/>
      <c r="F15" s="309" t="s">
        <v>121</v>
      </c>
      <c r="G15" s="310"/>
      <c r="H15" s="310"/>
      <c r="I15" s="310"/>
      <c r="J15" s="309" t="s">
        <v>72</v>
      </c>
      <c r="K15" s="310"/>
      <c r="L15" s="310"/>
      <c r="M15" s="310"/>
      <c r="N15" s="311"/>
      <c r="O15" s="202"/>
      <c r="P15" s="203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21.75" customHeight="1" x14ac:dyDescent="0.25">
      <c r="A16" s="100"/>
      <c r="B16" s="312" t="s">
        <v>19</v>
      </c>
      <c r="C16" s="314" t="s">
        <v>20</v>
      </c>
      <c r="D16" s="314" t="s">
        <v>122</v>
      </c>
      <c r="E16" s="316" t="s">
        <v>21</v>
      </c>
      <c r="F16" s="317" t="s">
        <v>123</v>
      </c>
      <c r="G16" s="211"/>
      <c r="H16" s="314" t="s">
        <v>73</v>
      </c>
      <c r="I16" s="320" t="s">
        <v>74</v>
      </c>
      <c r="J16" s="124" t="s">
        <v>124</v>
      </c>
      <c r="K16" s="125"/>
      <c r="L16" s="126" t="s">
        <v>125</v>
      </c>
      <c r="M16" s="126" t="s">
        <v>126</v>
      </c>
      <c r="N16" s="126" t="s">
        <v>126</v>
      </c>
      <c r="O16" s="126" t="s">
        <v>127</v>
      </c>
      <c r="P16" s="127" t="s">
        <v>22</v>
      </c>
    </row>
    <row r="17" spans="1:26" ht="21.75" customHeight="1" thickBot="1" x14ac:dyDescent="0.3">
      <c r="A17" s="128"/>
      <c r="B17" s="313"/>
      <c r="C17" s="315"/>
      <c r="D17" s="315"/>
      <c r="E17" s="315"/>
      <c r="F17" s="318"/>
      <c r="G17" s="319"/>
      <c r="H17" s="315"/>
      <c r="I17" s="321"/>
      <c r="J17" s="129" t="s">
        <v>23</v>
      </c>
      <c r="K17" s="130" t="s">
        <v>24</v>
      </c>
      <c r="L17" s="130" t="s">
        <v>128</v>
      </c>
      <c r="M17" s="130" t="s">
        <v>129</v>
      </c>
      <c r="N17" s="130" t="s">
        <v>25</v>
      </c>
      <c r="O17" s="130" t="s">
        <v>26</v>
      </c>
      <c r="P17" s="131" t="s">
        <v>27</v>
      </c>
    </row>
    <row r="18" spans="1:26" s="142" customFormat="1" ht="21.75" customHeight="1" thickBot="1" x14ac:dyDescent="0.3">
      <c r="A18" s="132"/>
      <c r="B18" s="133"/>
      <c r="C18" s="134">
        <f>+O12</f>
        <v>1.27</v>
      </c>
      <c r="D18" s="134">
        <v>3.5999999999999997E-2</v>
      </c>
      <c r="E18" s="135"/>
      <c r="F18" s="136"/>
      <c r="G18" s="137"/>
      <c r="H18" s="138"/>
      <c r="I18" s="139"/>
      <c r="J18" s="140"/>
      <c r="K18" s="135"/>
      <c r="L18" s="135"/>
      <c r="M18" s="135"/>
      <c r="N18" s="135"/>
      <c r="O18" s="135"/>
      <c r="P18" s="141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 spans="1:26" s="142" customFormat="1" ht="13.5" customHeight="1" x14ac:dyDescent="0.25">
      <c r="A19" s="132"/>
      <c r="B19" s="305">
        <v>1</v>
      </c>
      <c r="C19" s="308">
        <f>+C18+$N$12</f>
        <v>2.27</v>
      </c>
      <c r="D19" s="285">
        <v>0.128</v>
      </c>
      <c r="E19" s="285">
        <v>6.2E-2</v>
      </c>
      <c r="F19" s="143" t="s">
        <v>75</v>
      </c>
      <c r="G19" s="144">
        <v>0</v>
      </c>
      <c r="H19" s="145"/>
      <c r="I19" s="146"/>
      <c r="J19" s="147">
        <v>0.219</v>
      </c>
      <c r="K19" s="285">
        <f>+IF(E19&lt;=0.12,(J21),(IF(E19&lt;0.16,((J20+2*J21+J22)/4),IF(E19&gt;=0.16,((J19+3*J20+2*J21+3*J22+J23)/10)))))</f>
        <v>0.26300000000000001</v>
      </c>
      <c r="L19" s="285">
        <f>ROUND(+(D18+D19)/2*(C19-C18),3)</f>
        <v>8.2000000000000003E-2</v>
      </c>
      <c r="M19" s="285">
        <f>ROUND(+K19*L19,4)</f>
        <v>2.1600000000000001E-2</v>
      </c>
      <c r="N19" s="288">
        <f>ROUND(+M19/$M$98*100,2)</f>
        <v>1.08</v>
      </c>
      <c r="O19" s="289"/>
      <c r="P19" s="290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 spans="1:26" s="142" customFormat="1" ht="13.5" customHeight="1" x14ac:dyDescent="0.25">
      <c r="A20" s="132"/>
      <c r="B20" s="306"/>
      <c r="C20" s="286"/>
      <c r="D20" s="286"/>
      <c r="E20" s="286"/>
      <c r="F20" s="148" t="s">
        <v>76</v>
      </c>
      <c r="G20" s="149" t="str">
        <f>IF(E19&lt;0.125,"NA",IF(0.125&lt;=E19,(0.2*E19)))</f>
        <v>NA</v>
      </c>
      <c r="H20" s="150"/>
      <c r="I20" s="151"/>
      <c r="J20" s="152"/>
      <c r="K20" s="286"/>
      <c r="L20" s="286"/>
      <c r="M20" s="286"/>
      <c r="N20" s="286"/>
      <c r="O20" s="286"/>
      <c r="P20" s="291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 spans="1:26" s="142" customFormat="1" ht="13.5" customHeight="1" x14ac:dyDescent="0.25">
      <c r="A21" s="132"/>
      <c r="B21" s="306"/>
      <c r="C21" s="286"/>
      <c r="D21" s="286"/>
      <c r="E21" s="286"/>
      <c r="F21" s="148" t="s">
        <v>77</v>
      </c>
      <c r="G21" s="149">
        <f>+E19*0.4</f>
        <v>2.4800000000000003E-2</v>
      </c>
      <c r="H21" s="150"/>
      <c r="I21" s="151"/>
      <c r="J21" s="152">
        <v>0.26300000000000001</v>
      </c>
      <c r="K21" s="286"/>
      <c r="L21" s="286"/>
      <c r="M21" s="286"/>
      <c r="N21" s="286"/>
      <c r="O21" s="286"/>
      <c r="P21" s="291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spans="1:26" s="142" customFormat="1" ht="13.5" customHeight="1" x14ac:dyDescent="0.25">
      <c r="A22" s="132"/>
      <c r="B22" s="306"/>
      <c r="C22" s="286"/>
      <c r="D22" s="286"/>
      <c r="E22" s="286"/>
      <c r="F22" s="148" t="s">
        <v>78</v>
      </c>
      <c r="G22" s="149" t="str">
        <f>IF(E19&lt;0.125,"NA",IF(0.125&lt;=E19,(0.8*E19)))</f>
        <v>NA</v>
      </c>
      <c r="H22" s="150"/>
      <c r="I22" s="151"/>
      <c r="J22" s="152"/>
      <c r="K22" s="286"/>
      <c r="L22" s="286"/>
      <c r="M22" s="286"/>
      <c r="N22" s="286"/>
      <c r="O22" s="286"/>
      <c r="P22" s="291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spans="1:26" s="142" customFormat="1" ht="13.5" customHeight="1" thickBot="1" x14ac:dyDescent="0.3">
      <c r="A23" s="132"/>
      <c r="B23" s="307"/>
      <c r="C23" s="287"/>
      <c r="D23" s="287"/>
      <c r="E23" s="287"/>
      <c r="F23" s="153" t="s">
        <v>79</v>
      </c>
      <c r="G23" s="154">
        <f>+E19</f>
        <v>6.2E-2</v>
      </c>
      <c r="H23" s="155"/>
      <c r="I23" s="156"/>
      <c r="J23" s="157">
        <v>0.31</v>
      </c>
      <c r="K23" s="287"/>
      <c r="L23" s="287"/>
      <c r="M23" s="287"/>
      <c r="N23" s="287"/>
      <c r="O23" s="287"/>
      <c r="P23" s="29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 spans="1:26" s="142" customFormat="1" ht="13.5" customHeight="1" x14ac:dyDescent="0.25">
      <c r="A24" s="132"/>
      <c r="B24" s="305">
        <v>2</v>
      </c>
      <c r="C24" s="308">
        <f>+C19+$N$12</f>
        <v>3.27</v>
      </c>
      <c r="D24" s="285">
        <v>0.17799999999999999</v>
      </c>
      <c r="E24" s="285">
        <v>0.182</v>
      </c>
      <c r="F24" s="143" t="s">
        <v>75</v>
      </c>
      <c r="G24" s="144">
        <v>0</v>
      </c>
      <c r="H24" s="145"/>
      <c r="I24" s="146"/>
      <c r="J24" s="147">
        <v>0.24099999999999999</v>
      </c>
      <c r="K24" s="285">
        <f>+IF(E24&lt;=0.12,(J26),(IF(E24&lt;0.16,((J25+2*J26+J27)/4),IF(E24&gt;=0.16,((J24+3*J25+2*J26+3*J27+J28)/10)))))</f>
        <v>0.38629999999999998</v>
      </c>
      <c r="L24" s="285">
        <f>ROUND(+(D19+D24)/2*(C24-C19),3)</f>
        <v>0.153</v>
      </c>
      <c r="M24" s="285">
        <f>ROUND(+K24*L24,4)</f>
        <v>5.91E-2</v>
      </c>
      <c r="N24" s="288">
        <f>ROUND(+M24/$M$98*100,2)</f>
        <v>2.96</v>
      </c>
      <c r="O24" s="289"/>
      <c r="P24" s="290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spans="1:26" s="142" customFormat="1" ht="13.5" customHeight="1" x14ac:dyDescent="0.25">
      <c r="A25" s="132"/>
      <c r="B25" s="306"/>
      <c r="C25" s="286"/>
      <c r="D25" s="286"/>
      <c r="E25" s="286"/>
      <c r="F25" s="148" t="s">
        <v>76</v>
      </c>
      <c r="G25" s="149">
        <f>IF(E24&lt;0.125,"NA",IF(0.125&lt;=E24,(0.2*E24)))</f>
        <v>3.6400000000000002E-2</v>
      </c>
      <c r="H25" s="150"/>
      <c r="I25" s="151"/>
      <c r="J25" s="152">
        <v>0.316</v>
      </c>
      <c r="K25" s="286"/>
      <c r="L25" s="286"/>
      <c r="M25" s="286"/>
      <c r="N25" s="286"/>
      <c r="O25" s="286"/>
      <c r="P25" s="291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spans="1:26" s="142" customFormat="1" ht="13.5" customHeight="1" x14ac:dyDescent="0.25">
      <c r="A26" s="132"/>
      <c r="B26" s="306"/>
      <c r="C26" s="286"/>
      <c r="D26" s="286"/>
      <c r="E26" s="286"/>
      <c r="F26" s="148" t="s">
        <v>77</v>
      </c>
      <c r="G26" s="149">
        <f>+E24*0.4</f>
        <v>7.2800000000000004E-2</v>
      </c>
      <c r="H26" s="150"/>
      <c r="I26" s="151"/>
      <c r="J26" s="152">
        <v>0.42399999999999999</v>
      </c>
      <c r="K26" s="286"/>
      <c r="L26" s="286"/>
      <c r="M26" s="286"/>
      <c r="N26" s="286"/>
      <c r="O26" s="286"/>
      <c r="P26" s="291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spans="1:26" s="142" customFormat="1" ht="13.5" customHeight="1" x14ac:dyDescent="0.25">
      <c r="A27" s="132"/>
      <c r="B27" s="306"/>
      <c r="C27" s="286"/>
      <c r="D27" s="286"/>
      <c r="E27" s="286"/>
      <c r="F27" s="148" t="s">
        <v>78</v>
      </c>
      <c r="G27" s="149">
        <f>IF(E24&lt;0.125,"NA",IF(0.125&lt;=E24,(0.8*E24)))</f>
        <v>0.14560000000000001</v>
      </c>
      <c r="H27" s="150"/>
      <c r="I27" s="151"/>
      <c r="J27" s="152">
        <v>0.52200000000000002</v>
      </c>
      <c r="K27" s="286"/>
      <c r="L27" s="286"/>
      <c r="M27" s="286"/>
      <c r="N27" s="286"/>
      <c r="O27" s="286"/>
      <c r="P27" s="291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spans="1:26" s="142" customFormat="1" ht="13.5" customHeight="1" thickBot="1" x14ac:dyDescent="0.3">
      <c r="A28" s="132"/>
      <c r="B28" s="307"/>
      <c r="C28" s="287"/>
      <c r="D28" s="287"/>
      <c r="E28" s="287"/>
      <c r="F28" s="153" t="s">
        <v>79</v>
      </c>
      <c r="G28" s="154">
        <f>+E24</f>
        <v>0.182</v>
      </c>
      <c r="H28" s="155"/>
      <c r="I28" s="156"/>
      <c r="J28" s="157">
        <v>0.26</v>
      </c>
      <c r="K28" s="287"/>
      <c r="L28" s="287"/>
      <c r="M28" s="287"/>
      <c r="N28" s="287"/>
      <c r="O28" s="287"/>
      <c r="P28" s="29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pans="1:26" s="142" customFormat="1" ht="13.5" customHeight="1" x14ac:dyDescent="0.25">
      <c r="A29" s="132"/>
      <c r="B29" s="305">
        <v>3</v>
      </c>
      <c r="C29" s="308">
        <f>+C24+$N$12</f>
        <v>4.2699999999999996</v>
      </c>
      <c r="D29" s="285">
        <v>0.34499999999999997</v>
      </c>
      <c r="E29" s="285">
        <v>0.191</v>
      </c>
      <c r="F29" s="143" t="s">
        <v>75</v>
      </c>
      <c r="G29" s="144">
        <v>0</v>
      </c>
      <c r="H29" s="145"/>
      <c r="I29" s="146"/>
      <c r="J29" s="147">
        <v>0.51300000000000001</v>
      </c>
      <c r="K29" s="285">
        <f>+IF(E29&lt;=0.12,(J31),(IF(E29&lt;0.16,((J30+2*J31+J32)/4),IF(E29&gt;=0.16,((J29+3*J30+2*J31+3*J32+J33)/10)))))</f>
        <v>0.54259999999999997</v>
      </c>
      <c r="L29" s="285">
        <f>ROUND(+(D24+D29)/2*(C29-C24),3)</f>
        <v>0.26200000000000001</v>
      </c>
      <c r="M29" s="285">
        <f>ROUND(+K29*L29,4)</f>
        <v>0.14219999999999999</v>
      </c>
      <c r="N29" s="288">
        <f>ROUND(+M29/$M$98*100,2)</f>
        <v>7.11</v>
      </c>
      <c r="O29" s="289"/>
      <c r="P29" s="290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spans="1:26" s="142" customFormat="1" ht="13.5" customHeight="1" x14ac:dyDescent="0.25">
      <c r="A30" s="132"/>
      <c r="B30" s="306"/>
      <c r="C30" s="286"/>
      <c r="D30" s="286"/>
      <c r="E30" s="286"/>
      <c r="F30" s="148" t="s">
        <v>76</v>
      </c>
      <c r="G30" s="149">
        <f>IF(E29&lt;0.125,"NA",IF(0.125&lt;=E29,(0.2*E29)))</f>
        <v>3.8200000000000005E-2</v>
      </c>
      <c r="H30" s="150"/>
      <c r="I30" s="151"/>
      <c r="J30" s="152">
        <v>0.54300000000000004</v>
      </c>
      <c r="K30" s="286"/>
      <c r="L30" s="286"/>
      <c r="M30" s="286"/>
      <c r="N30" s="286"/>
      <c r="O30" s="286"/>
      <c r="P30" s="291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spans="1:26" s="142" customFormat="1" ht="13.5" customHeight="1" x14ac:dyDescent="0.25">
      <c r="A31" s="132"/>
      <c r="B31" s="306"/>
      <c r="C31" s="286"/>
      <c r="D31" s="286"/>
      <c r="E31" s="286"/>
      <c r="F31" s="148" t="s">
        <v>77</v>
      </c>
      <c r="G31" s="149">
        <f>+E29*0.4</f>
        <v>7.640000000000001E-2</v>
      </c>
      <c r="H31" s="150"/>
      <c r="I31" s="151"/>
      <c r="J31" s="152">
        <v>0.53300000000000003</v>
      </c>
      <c r="K31" s="286"/>
      <c r="L31" s="286"/>
      <c r="M31" s="286"/>
      <c r="N31" s="286"/>
      <c r="O31" s="286"/>
      <c r="P31" s="291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spans="1:26" s="142" customFormat="1" ht="13.5" customHeight="1" x14ac:dyDescent="0.25">
      <c r="A32" s="132"/>
      <c r="B32" s="306"/>
      <c r="C32" s="286"/>
      <c r="D32" s="286"/>
      <c r="E32" s="286"/>
      <c r="F32" s="148" t="s">
        <v>78</v>
      </c>
      <c r="G32" s="149">
        <f>IF(E29&lt;0.125,"NA",IF(0.125&lt;=E29,(0.8*E29)))</f>
        <v>0.15280000000000002</v>
      </c>
      <c r="H32" s="150"/>
      <c r="I32" s="151"/>
      <c r="J32" s="152">
        <v>0.57999999999999996</v>
      </c>
      <c r="K32" s="286"/>
      <c r="L32" s="286"/>
      <c r="M32" s="286"/>
      <c r="N32" s="286"/>
      <c r="O32" s="286"/>
      <c r="P32" s="291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spans="1:26" s="142" customFormat="1" ht="13.5" customHeight="1" thickBot="1" x14ac:dyDescent="0.3">
      <c r="A33" s="132"/>
      <c r="B33" s="307"/>
      <c r="C33" s="287"/>
      <c r="D33" s="287"/>
      <c r="E33" s="287"/>
      <c r="F33" s="153" t="s">
        <v>79</v>
      </c>
      <c r="G33" s="154">
        <f>+E29</f>
        <v>0.191</v>
      </c>
      <c r="H33" s="155"/>
      <c r="I33" s="156"/>
      <c r="J33" s="157">
        <v>0.47799999999999998</v>
      </c>
      <c r="K33" s="287"/>
      <c r="L33" s="287"/>
      <c r="M33" s="287"/>
      <c r="N33" s="287"/>
      <c r="O33" s="287"/>
      <c r="P33" s="29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spans="1:26" s="142" customFormat="1" ht="13.5" customHeight="1" x14ac:dyDescent="0.25">
      <c r="A34" s="132"/>
      <c r="B34" s="305">
        <v>4</v>
      </c>
      <c r="C34" s="308">
        <f>+C29+$N$12</f>
        <v>5.27</v>
      </c>
      <c r="D34" s="285">
        <v>0.49299999999999999</v>
      </c>
      <c r="E34" s="285">
        <v>0.47199999999999998</v>
      </c>
      <c r="F34" s="143" t="s">
        <v>75</v>
      </c>
      <c r="G34" s="144">
        <v>0</v>
      </c>
      <c r="H34" s="145"/>
      <c r="I34" s="146"/>
      <c r="J34" s="147">
        <v>0.26700000000000002</v>
      </c>
      <c r="K34" s="285">
        <f>+IF(E34&lt;=0.12,(J36),(IF(E34&lt;0.16,((J35+2*J36+J37)/4),IF(E34&gt;=0.16,((J34+3*J35+2*J36+3*J37+J38)/10)))))</f>
        <v>0.4093</v>
      </c>
      <c r="L34" s="285">
        <f>ROUND(+(D29+D34)/2*(C34-C29),3)</f>
        <v>0.41899999999999998</v>
      </c>
      <c r="M34" s="285">
        <f>ROUND(+K34*L34,4)</f>
        <v>0.17150000000000001</v>
      </c>
      <c r="N34" s="288">
        <f>ROUND(+M34/$M$98*100,2)</f>
        <v>8.58</v>
      </c>
      <c r="O34" s="289"/>
      <c r="P34" s="290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spans="1:26" s="142" customFormat="1" ht="13.5" customHeight="1" x14ac:dyDescent="0.25">
      <c r="A35" s="132"/>
      <c r="B35" s="306"/>
      <c r="C35" s="286"/>
      <c r="D35" s="286"/>
      <c r="E35" s="286"/>
      <c r="F35" s="148" t="s">
        <v>76</v>
      </c>
      <c r="G35" s="149">
        <f>IF(E34&lt;0.125,"NA",IF(0.125&lt;=E34,(0.2*E34)))</f>
        <v>9.4399999999999998E-2</v>
      </c>
      <c r="H35" s="150"/>
      <c r="I35" s="151"/>
      <c r="J35" s="152">
        <v>0.311</v>
      </c>
      <c r="K35" s="286"/>
      <c r="L35" s="286"/>
      <c r="M35" s="286"/>
      <c r="N35" s="286"/>
      <c r="O35" s="286"/>
      <c r="P35" s="291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spans="1:26" s="142" customFormat="1" ht="13.5" customHeight="1" x14ac:dyDescent="0.25">
      <c r="A36" s="132"/>
      <c r="B36" s="306"/>
      <c r="C36" s="286"/>
      <c r="D36" s="286"/>
      <c r="E36" s="286"/>
      <c r="F36" s="148" t="s">
        <v>77</v>
      </c>
      <c r="G36" s="149">
        <f>+E34*0.4</f>
        <v>0.1888</v>
      </c>
      <c r="H36" s="150"/>
      <c r="I36" s="151"/>
      <c r="J36" s="152">
        <v>0.45400000000000001</v>
      </c>
      <c r="K36" s="286"/>
      <c r="L36" s="286"/>
      <c r="M36" s="286"/>
      <c r="N36" s="286"/>
      <c r="O36" s="286"/>
      <c r="P36" s="291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spans="1:26" s="142" customFormat="1" ht="13.5" customHeight="1" x14ac:dyDescent="0.25">
      <c r="A37" s="132"/>
      <c r="B37" s="306"/>
      <c r="C37" s="286"/>
      <c r="D37" s="286"/>
      <c r="E37" s="286"/>
      <c r="F37" s="148" t="s">
        <v>78</v>
      </c>
      <c r="G37" s="149">
        <f>IF(E34&lt;0.125,"NA",IF(0.125&lt;=E34,(0.8*E34)))</f>
        <v>0.37759999999999999</v>
      </c>
      <c r="H37" s="150"/>
      <c r="I37" s="151"/>
      <c r="J37" s="152">
        <v>0.51400000000000001</v>
      </c>
      <c r="K37" s="286"/>
      <c r="L37" s="286"/>
      <c r="M37" s="286"/>
      <c r="N37" s="286"/>
      <c r="O37" s="286"/>
      <c r="P37" s="291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spans="1:26" s="142" customFormat="1" ht="13.5" customHeight="1" thickBot="1" x14ac:dyDescent="0.3">
      <c r="A38" s="132"/>
      <c r="B38" s="307"/>
      <c r="C38" s="287"/>
      <c r="D38" s="287"/>
      <c r="E38" s="287"/>
      <c r="F38" s="153" t="s">
        <v>79</v>
      </c>
      <c r="G38" s="154">
        <f>+E34</f>
        <v>0.47199999999999998</v>
      </c>
      <c r="H38" s="155"/>
      <c r="I38" s="156"/>
      <c r="J38" s="157">
        <v>0.443</v>
      </c>
      <c r="K38" s="287"/>
      <c r="L38" s="287"/>
      <c r="M38" s="287"/>
      <c r="N38" s="287"/>
      <c r="O38" s="287"/>
      <c r="P38" s="29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spans="1:26" s="142" customFormat="1" ht="13.5" customHeight="1" x14ac:dyDescent="0.25">
      <c r="A39" s="132"/>
      <c r="B39" s="305">
        <v>5</v>
      </c>
      <c r="C39" s="308">
        <f>+C34+$N$12</f>
        <v>6.27</v>
      </c>
      <c r="D39" s="285">
        <v>0.69</v>
      </c>
      <c r="E39" s="285">
        <v>0.45400000000000001</v>
      </c>
      <c r="F39" s="143" t="s">
        <v>75</v>
      </c>
      <c r="G39" s="144">
        <v>0</v>
      </c>
      <c r="H39" s="145"/>
      <c r="I39" s="146"/>
      <c r="J39" s="147">
        <v>0.47099999999999997</v>
      </c>
      <c r="K39" s="285">
        <f>+IF(E39&lt;=0.12,(J41),(IF(E39&lt;0.16,((J40+2*J41+J42)/4),IF(E39&gt;=0.16,((J39+3*J40+2*J41+3*J42+J43)/10)))))</f>
        <v>0.49059999999999998</v>
      </c>
      <c r="L39" s="285">
        <f>ROUND(+(D34+D39)/2*(C39-C34),3)</f>
        <v>0.59199999999999997</v>
      </c>
      <c r="M39" s="285">
        <f>ROUND(+K39*L39,4)</f>
        <v>0.29039999999999999</v>
      </c>
      <c r="N39" s="288">
        <f>ROUND(+M39/$M$98*100,2)</f>
        <v>14.52</v>
      </c>
      <c r="O39" s="289"/>
      <c r="P39" s="290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spans="1:26" s="142" customFormat="1" ht="13.5" customHeight="1" x14ac:dyDescent="0.25">
      <c r="A40" s="132"/>
      <c r="B40" s="306"/>
      <c r="C40" s="286"/>
      <c r="D40" s="286"/>
      <c r="E40" s="286"/>
      <c r="F40" s="148" t="s">
        <v>76</v>
      </c>
      <c r="G40" s="149">
        <f>IF(E39&lt;0.125,"NA",IF(0.125&lt;=E39,(0.2*E39)))</f>
        <v>9.0800000000000006E-2</v>
      </c>
      <c r="H40" s="150"/>
      <c r="I40" s="151"/>
      <c r="J40" s="152">
        <v>0.50600000000000001</v>
      </c>
      <c r="K40" s="286"/>
      <c r="L40" s="286"/>
      <c r="M40" s="286"/>
      <c r="N40" s="286"/>
      <c r="O40" s="286"/>
      <c r="P40" s="291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spans="1:26" s="142" customFormat="1" ht="13.5" customHeight="1" x14ac:dyDescent="0.25">
      <c r="A41" s="132"/>
      <c r="B41" s="306"/>
      <c r="C41" s="286"/>
      <c r="D41" s="286"/>
      <c r="E41" s="286"/>
      <c r="F41" s="148" t="s">
        <v>77</v>
      </c>
      <c r="G41" s="149">
        <f>+E39*0.4</f>
        <v>0.18160000000000001</v>
      </c>
      <c r="H41" s="150"/>
      <c r="I41" s="151"/>
      <c r="J41" s="152">
        <v>0.48199999999999998</v>
      </c>
      <c r="K41" s="286"/>
      <c r="L41" s="286"/>
      <c r="M41" s="286"/>
      <c r="N41" s="286"/>
      <c r="O41" s="286"/>
      <c r="P41" s="291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spans="1:26" s="142" customFormat="1" ht="13.5" customHeight="1" x14ac:dyDescent="0.25">
      <c r="A42" s="132"/>
      <c r="B42" s="306"/>
      <c r="C42" s="286"/>
      <c r="D42" s="286"/>
      <c r="E42" s="286"/>
      <c r="F42" s="148" t="s">
        <v>78</v>
      </c>
      <c r="G42" s="149">
        <f>IF(E39&lt;0.125,"NA",IF(0.125&lt;=E39,(0.8*E39)))</f>
        <v>0.36320000000000002</v>
      </c>
      <c r="H42" s="150"/>
      <c r="I42" s="151"/>
      <c r="J42" s="152">
        <v>0.51</v>
      </c>
      <c r="K42" s="286"/>
      <c r="L42" s="286"/>
      <c r="M42" s="286"/>
      <c r="N42" s="286"/>
      <c r="O42" s="286"/>
      <c r="P42" s="291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spans="1:26" s="142" customFormat="1" ht="13.5" customHeight="1" thickBot="1" x14ac:dyDescent="0.3">
      <c r="A43" s="132"/>
      <c r="B43" s="307"/>
      <c r="C43" s="287"/>
      <c r="D43" s="287"/>
      <c r="E43" s="287"/>
      <c r="F43" s="153" t="s">
        <v>79</v>
      </c>
      <c r="G43" s="154">
        <f>+E39</f>
        <v>0.45400000000000001</v>
      </c>
      <c r="H43" s="155"/>
      <c r="I43" s="156"/>
      <c r="J43" s="157">
        <v>0.42299999999999999</v>
      </c>
      <c r="K43" s="287"/>
      <c r="L43" s="287"/>
      <c r="M43" s="287"/>
      <c r="N43" s="287"/>
      <c r="O43" s="287"/>
      <c r="P43" s="29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spans="1:26" s="142" customFormat="1" ht="13.5" customHeight="1" x14ac:dyDescent="0.25">
      <c r="A44" s="132"/>
      <c r="B44" s="305">
        <v>6</v>
      </c>
      <c r="C44" s="308">
        <f>+C39+$N$12</f>
        <v>7.27</v>
      </c>
      <c r="D44" s="285">
        <v>0.79500000000000004</v>
      </c>
      <c r="E44" s="285">
        <v>0.70499999999999996</v>
      </c>
      <c r="F44" s="143" t="s">
        <v>75</v>
      </c>
      <c r="G44" s="144">
        <v>0</v>
      </c>
      <c r="H44" s="145"/>
      <c r="I44" s="146"/>
      <c r="J44" s="147"/>
      <c r="K44" s="285"/>
      <c r="L44" s="285"/>
      <c r="M44" s="285"/>
      <c r="N44" s="288"/>
      <c r="O44" s="289"/>
      <c r="P44" s="290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spans="1:26" s="142" customFormat="1" ht="13.5" customHeight="1" x14ac:dyDescent="0.25">
      <c r="A45" s="132"/>
      <c r="B45" s="306"/>
      <c r="C45" s="286"/>
      <c r="D45" s="286"/>
      <c r="E45" s="286"/>
      <c r="F45" s="148" t="s">
        <v>76</v>
      </c>
      <c r="G45" s="149">
        <f>IF(E44&lt;0.125,"NA",IF(0.125&lt;=E44,(0.2*E44)))</f>
        <v>0.14099999999999999</v>
      </c>
      <c r="H45" s="150"/>
      <c r="I45" s="151"/>
      <c r="J45" s="152"/>
      <c r="K45" s="286"/>
      <c r="L45" s="286"/>
      <c r="M45" s="286"/>
      <c r="N45" s="286"/>
      <c r="O45" s="286"/>
      <c r="P45" s="291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spans="1:26" s="142" customFormat="1" ht="13.5" customHeight="1" x14ac:dyDescent="0.25">
      <c r="A46" s="132"/>
      <c r="B46" s="306"/>
      <c r="C46" s="286"/>
      <c r="D46" s="286"/>
      <c r="E46" s="286"/>
      <c r="F46" s="148" t="s">
        <v>77</v>
      </c>
      <c r="G46" s="149">
        <f>+E44*0.4</f>
        <v>0.28199999999999997</v>
      </c>
      <c r="H46" s="150"/>
      <c r="I46" s="151"/>
      <c r="J46" s="152"/>
      <c r="K46" s="286"/>
      <c r="L46" s="286"/>
      <c r="M46" s="286"/>
      <c r="N46" s="286"/>
      <c r="O46" s="286"/>
      <c r="P46" s="291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spans="1:26" s="142" customFormat="1" ht="13.5" customHeight="1" x14ac:dyDescent="0.25">
      <c r="A47" s="132"/>
      <c r="B47" s="306"/>
      <c r="C47" s="286"/>
      <c r="D47" s="286"/>
      <c r="E47" s="286"/>
      <c r="F47" s="148" t="s">
        <v>78</v>
      </c>
      <c r="G47" s="149">
        <f>IF(E44&lt;0.125,"NA",IF(0.125&lt;=E44,(0.8*E44)))</f>
        <v>0.56399999999999995</v>
      </c>
      <c r="H47" s="150"/>
      <c r="I47" s="151"/>
      <c r="J47" s="152"/>
      <c r="K47" s="286"/>
      <c r="L47" s="286"/>
      <c r="M47" s="286"/>
      <c r="N47" s="286"/>
      <c r="O47" s="286"/>
      <c r="P47" s="291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spans="1:26" s="142" customFormat="1" ht="13.5" customHeight="1" thickBot="1" x14ac:dyDescent="0.3">
      <c r="A48" s="132"/>
      <c r="B48" s="307"/>
      <c r="C48" s="287"/>
      <c r="D48" s="287"/>
      <c r="E48" s="287"/>
      <c r="F48" s="153" t="s">
        <v>79</v>
      </c>
      <c r="G48" s="154">
        <f>+E44</f>
        <v>0.70499999999999996</v>
      </c>
      <c r="H48" s="155"/>
      <c r="I48" s="156"/>
      <c r="J48" s="157"/>
      <c r="K48" s="287"/>
      <c r="L48" s="287"/>
      <c r="M48" s="287"/>
      <c r="N48" s="287"/>
      <c r="O48" s="287"/>
      <c r="P48" s="29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spans="1:26" s="142" customFormat="1" ht="13.5" customHeight="1" x14ac:dyDescent="0.25">
      <c r="A49" s="132"/>
      <c r="B49" s="305">
        <v>7</v>
      </c>
      <c r="C49" s="308">
        <f>+C44+$N$12</f>
        <v>8.27</v>
      </c>
      <c r="D49" s="285">
        <v>0.65400000000000003</v>
      </c>
      <c r="E49" s="285">
        <v>0.64700000000000002</v>
      </c>
      <c r="F49" s="143" t="s">
        <v>75</v>
      </c>
      <c r="G49" s="144">
        <v>0</v>
      </c>
      <c r="H49" s="145"/>
      <c r="I49" s="146"/>
      <c r="J49" s="147">
        <v>0.41799999999999998</v>
      </c>
      <c r="K49" s="285">
        <f>+IF(E49&lt;=0.12,(J51),(IF(E49&lt;0.16,((J50+2*J51+J52)/4),IF(E49&gt;=0.16,((J49+3*J50+2*J51+3*J52+J53)/10)))))</f>
        <v>0.46390000000000003</v>
      </c>
      <c r="L49" s="285">
        <f>ROUND(+(D44+D49)/2*(C49-C44),3)</f>
        <v>0.72499999999999998</v>
      </c>
      <c r="M49" s="285">
        <f>ROUND(+K49*L49,4)</f>
        <v>0.33629999999999999</v>
      </c>
      <c r="N49" s="288">
        <f>ROUND(+M49/$M$98*100,2)</f>
        <v>16.82</v>
      </c>
      <c r="O49" s="289"/>
      <c r="P49" s="290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spans="1:26" s="142" customFormat="1" ht="13.5" customHeight="1" x14ac:dyDescent="0.25">
      <c r="A50" s="132"/>
      <c r="B50" s="306"/>
      <c r="C50" s="286"/>
      <c r="D50" s="286"/>
      <c r="E50" s="286"/>
      <c r="F50" s="148" t="s">
        <v>76</v>
      </c>
      <c r="G50" s="149">
        <f>IF(E49&lt;0.125,"NA",IF(0.125&lt;=E49,(0.2*E49)))</f>
        <v>0.12940000000000002</v>
      </c>
      <c r="H50" s="150"/>
      <c r="I50" s="151"/>
      <c r="J50" s="152">
        <v>0.44800000000000001</v>
      </c>
      <c r="K50" s="286"/>
      <c r="L50" s="286"/>
      <c r="M50" s="286"/>
      <c r="N50" s="286"/>
      <c r="O50" s="286"/>
      <c r="P50" s="291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spans="1:26" s="142" customFormat="1" ht="13.5" customHeight="1" x14ac:dyDescent="0.25">
      <c r="A51" s="132"/>
      <c r="B51" s="306"/>
      <c r="C51" s="286"/>
      <c r="D51" s="286"/>
      <c r="E51" s="286"/>
      <c r="F51" s="148" t="s">
        <v>77</v>
      </c>
      <c r="G51" s="149">
        <f>+E49*0.4</f>
        <v>0.25880000000000003</v>
      </c>
      <c r="H51" s="150"/>
      <c r="I51" s="151"/>
      <c r="J51" s="152">
        <v>0.38800000000000001</v>
      </c>
      <c r="K51" s="286"/>
      <c r="L51" s="286"/>
      <c r="M51" s="286"/>
      <c r="N51" s="286"/>
      <c r="O51" s="286"/>
      <c r="P51" s="291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spans="1:26" s="142" customFormat="1" ht="13.5" customHeight="1" x14ac:dyDescent="0.25">
      <c r="A52" s="132"/>
      <c r="B52" s="306"/>
      <c r="C52" s="286"/>
      <c r="D52" s="286"/>
      <c r="E52" s="286"/>
      <c r="F52" s="148" t="s">
        <v>78</v>
      </c>
      <c r="G52" s="149">
        <f>IF(E49&lt;0.125,"NA",IF(0.125&lt;=E49,(0.8*E49)))</f>
        <v>0.51760000000000006</v>
      </c>
      <c r="H52" s="150"/>
      <c r="I52" s="151"/>
      <c r="J52" s="152">
        <v>0.52600000000000002</v>
      </c>
      <c r="K52" s="286"/>
      <c r="L52" s="286"/>
      <c r="M52" s="286"/>
      <c r="N52" s="286"/>
      <c r="O52" s="286"/>
      <c r="P52" s="291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s="142" customFormat="1" ht="13.5" customHeight="1" thickBot="1" x14ac:dyDescent="0.3">
      <c r="A53" s="132"/>
      <c r="B53" s="307"/>
      <c r="C53" s="287"/>
      <c r="D53" s="287"/>
      <c r="E53" s="287"/>
      <c r="F53" s="153" t="s">
        <v>79</v>
      </c>
      <c r="G53" s="154">
        <f>+E49</f>
        <v>0.64700000000000002</v>
      </c>
      <c r="H53" s="155"/>
      <c r="I53" s="156"/>
      <c r="J53" s="157">
        <v>0.52300000000000002</v>
      </c>
      <c r="K53" s="287"/>
      <c r="L53" s="287"/>
      <c r="M53" s="287"/>
      <c r="N53" s="287"/>
      <c r="O53" s="287"/>
      <c r="P53" s="29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spans="1:26" s="142" customFormat="1" ht="13.5" customHeight="1" x14ac:dyDescent="0.25">
      <c r="A54" s="132"/>
      <c r="B54" s="305">
        <v>8</v>
      </c>
      <c r="C54" s="308">
        <f>+C49+$N$12</f>
        <v>9.27</v>
      </c>
      <c r="D54" s="285">
        <v>0.56000000000000005</v>
      </c>
      <c r="E54" s="285">
        <v>0.625</v>
      </c>
      <c r="F54" s="143" t="s">
        <v>75</v>
      </c>
      <c r="G54" s="144">
        <v>0</v>
      </c>
      <c r="H54" s="145"/>
      <c r="I54" s="146"/>
      <c r="J54" s="147">
        <v>0.36499999999999999</v>
      </c>
      <c r="K54" s="285">
        <f>+IF(E54&lt;=0.12,(J56),(IF(E54&lt;0.16,((J55+2*J56+J57)/4),IF(E54&gt;=0.16,((J54+3*J55+2*J56+3*J57+J58)/10)))))</f>
        <v>0.38990000000000002</v>
      </c>
      <c r="L54" s="285">
        <f>ROUND(+(D49+D54)/2*(C54-C49),3)</f>
        <v>0.60699999999999998</v>
      </c>
      <c r="M54" s="285">
        <f>ROUND(+K54*L54,4)</f>
        <v>0.23669999999999999</v>
      </c>
      <c r="N54" s="288">
        <f>ROUND(+M54/$M$98*100,2)</f>
        <v>11.84</v>
      </c>
      <c r="O54" s="289"/>
      <c r="P54" s="290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spans="1:26" s="142" customFormat="1" ht="13.5" customHeight="1" x14ac:dyDescent="0.25">
      <c r="A55" s="132"/>
      <c r="B55" s="306"/>
      <c r="C55" s="286"/>
      <c r="D55" s="286"/>
      <c r="E55" s="286"/>
      <c r="F55" s="148" t="s">
        <v>76</v>
      </c>
      <c r="G55" s="149">
        <f>IF(E54&lt;0.125,"NA",IF(0.125&lt;=E54,(0.2*E54)))</f>
        <v>0.125</v>
      </c>
      <c r="H55" s="150"/>
      <c r="I55" s="151"/>
      <c r="J55" s="152">
        <v>0.34</v>
      </c>
      <c r="K55" s="286"/>
      <c r="L55" s="286"/>
      <c r="M55" s="286"/>
      <c r="N55" s="286"/>
      <c r="O55" s="286"/>
      <c r="P55" s="291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spans="1:26" s="142" customFormat="1" ht="13.5" customHeight="1" x14ac:dyDescent="0.25">
      <c r="A56" s="132"/>
      <c r="B56" s="306"/>
      <c r="C56" s="286"/>
      <c r="D56" s="286"/>
      <c r="E56" s="286"/>
      <c r="F56" s="148" t="s">
        <v>77</v>
      </c>
      <c r="G56" s="149">
        <f>+E54*0.4</f>
        <v>0.25</v>
      </c>
      <c r="H56" s="150"/>
      <c r="I56" s="151"/>
      <c r="J56" s="152">
        <v>0.42599999999999999</v>
      </c>
      <c r="K56" s="286"/>
      <c r="L56" s="286"/>
      <c r="M56" s="286"/>
      <c r="N56" s="286"/>
      <c r="O56" s="286"/>
      <c r="P56" s="291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spans="1:26" s="142" customFormat="1" ht="13.5" customHeight="1" x14ac:dyDescent="0.25">
      <c r="A57" s="132"/>
      <c r="B57" s="306"/>
      <c r="C57" s="286"/>
      <c r="D57" s="286"/>
      <c r="E57" s="286"/>
      <c r="F57" s="148" t="s">
        <v>78</v>
      </c>
      <c r="G57" s="149">
        <f>IF(E54&lt;0.125,"NA",IF(0.125&lt;=E54,(0.8*E54)))</f>
        <v>0.5</v>
      </c>
      <c r="H57" s="150"/>
      <c r="I57" s="151"/>
      <c r="J57" s="152">
        <v>0.43099999999999999</v>
      </c>
      <c r="K57" s="286"/>
      <c r="L57" s="286"/>
      <c r="M57" s="286"/>
      <c r="N57" s="286"/>
      <c r="O57" s="286"/>
      <c r="P57" s="291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spans="1:26" s="142" customFormat="1" ht="13.5" customHeight="1" thickBot="1" x14ac:dyDescent="0.3">
      <c r="A58" s="132"/>
      <c r="B58" s="307"/>
      <c r="C58" s="287"/>
      <c r="D58" s="287"/>
      <c r="E58" s="287"/>
      <c r="F58" s="153" t="s">
        <v>79</v>
      </c>
      <c r="G58" s="154">
        <f>+E54</f>
        <v>0.625</v>
      </c>
      <c r="H58" s="155"/>
      <c r="I58" s="156"/>
      <c r="J58" s="157">
        <v>0.36899999999999999</v>
      </c>
      <c r="K58" s="287"/>
      <c r="L58" s="287"/>
      <c r="M58" s="287"/>
      <c r="N58" s="287"/>
      <c r="O58" s="287"/>
      <c r="P58" s="29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spans="1:26" s="142" customFormat="1" ht="13.5" customHeight="1" x14ac:dyDescent="0.25">
      <c r="A59" s="132"/>
      <c r="B59" s="305">
        <v>9</v>
      </c>
      <c r="C59" s="308">
        <f>+C54+$N$12</f>
        <v>10.27</v>
      </c>
      <c r="D59" s="285">
        <v>0.47499999999999998</v>
      </c>
      <c r="E59" s="285">
        <v>0.6</v>
      </c>
      <c r="F59" s="143" t="s">
        <v>75</v>
      </c>
      <c r="G59" s="144">
        <v>0</v>
      </c>
      <c r="H59" s="145"/>
      <c r="I59" s="146"/>
      <c r="J59" s="147">
        <v>0.16800000000000001</v>
      </c>
      <c r="K59" s="285">
        <f>+IF(E59&lt;=0.12,(J61),(IF(E59&lt;0.16,((J60+2*J61+J62)/4),IF(E59&gt;=0.16,((J59+3*J60+2*J61+3*J62+J63)/10)))))</f>
        <v>0.31870000000000004</v>
      </c>
      <c r="L59" s="285">
        <f>ROUND(+(D54+D59)/2*(C59-C54),3)</f>
        <v>0.51800000000000002</v>
      </c>
      <c r="M59" s="285">
        <f>ROUND(+K59*L59,4)</f>
        <v>0.1651</v>
      </c>
      <c r="N59" s="288">
        <f>ROUND(+M59/$M$98*100,2)</f>
        <v>8.26</v>
      </c>
      <c r="O59" s="289"/>
      <c r="P59" s="290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spans="1:26" s="142" customFormat="1" ht="13.5" customHeight="1" x14ac:dyDescent="0.25">
      <c r="A60" s="132"/>
      <c r="B60" s="306"/>
      <c r="C60" s="286"/>
      <c r="D60" s="286"/>
      <c r="E60" s="286"/>
      <c r="F60" s="148" t="s">
        <v>76</v>
      </c>
      <c r="G60" s="149">
        <f>IF(E59&lt;0.125,"NA",IF(0.125&lt;=E59,(0.2*E59)))</f>
        <v>0.12</v>
      </c>
      <c r="H60" s="150"/>
      <c r="I60" s="151"/>
      <c r="J60" s="152">
        <v>0.19</v>
      </c>
      <c r="K60" s="286"/>
      <c r="L60" s="286"/>
      <c r="M60" s="286"/>
      <c r="N60" s="286"/>
      <c r="O60" s="286"/>
      <c r="P60" s="291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spans="1:26" s="142" customFormat="1" ht="13.5" customHeight="1" x14ac:dyDescent="0.25">
      <c r="A61" s="132"/>
      <c r="B61" s="306"/>
      <c r="C61" s="286"/>
      <c r="D61" s="286"/>
      <c r="E61" s="286"/>
      <c r="F61" s="148" t="s">
        <v>77</v>
      </c>
      <c r="G61" s="149">
        <f>+E59*0.4</f>
        <v>0.24</v>
      </c>
      <c r="H61" s="150"/>
      <c r="I61" s="151"/>
      <c r="J61" s="152">
        <v>0.316</v>
      </c>
      <c r="K61" s="286"/>
      <c r="L61" s="286"/>
      <c r="M61" s="286"/>
      <c r="N61" s="286"/>
      <c r="O61" s="286"/>
      <c r="P61" s="291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spans="1:26" s="142" customFormat="1" ht="13.5" customHeight="1" x14ac:dyDescent="0.25">
      <c r="A62" s="132"/>
      <c r="B62" s="306"/>
      <c r="C62" s="286"/>
      <c r="D62" s="286"/>
      <c r="E62" s="286"/>
      <c r="F62" s="148" t="s">
        <v>78</v>
      </c>
      <c r="G62" s="149">
        <f>IF(E59&lt;0.125,"NA",IF(0.125&lt;=E59,(0.8*E59)))</f>
        <v>0.48</v>
      </c>
      <c r="H62" s="150"/>
      <c r="I62" s="151"/>
      <c r="J62" s="152">
        <v>0.40300000000000002</v>
      </c>
      <c r="K62" s="286"/>
      <c r="L62" s="286"/>
      <c r="M62" s="286"/>
      <c r="N62" s="286"/>
      <c r="O62" s="286"/>
      <c r="P62" s="291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spans="1:26" s="142" customFormat="1" ht="13.5" customHeight="1" thickBot="1" x14ac:dyDescent="0.3">
      <c r="A63" s="132"/>
      <c r="B63" s="307"/>
      <c r="C63" s="287"/>
      <c r="D63" s="287"/>
      <c r="E63" s="287"/>
      <c r="F63" s="153" t="s">
        <v>79</v>
      </c>
      <c r="G63" s="154">
        <f>+E59</f>
        <v>0.6</v>
      </c>
      <c r="H63" s="155"/>
      <c r="I63" s="156"/>
      <c r="J63" s="157">
        <v>0.60799999999999998</v>
      </c>
      <c r="K63" s="287"/>
      <c r="L63" s="287"/>
      <c r="M63" s="287"/>
      <c r="N63" s="287"/>
      <c r="O63" s="287"/>
      <c r="P63" s="29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spans="1:26" s="142" customFormat="1" ht="13.5" customHeight="1" x14ac:dyDescent="0.25">
      <c r="A64" s="132"/>
      <c r="B64" s="305">
        <v>10</v>
      </c>
      <c r="C64" s="308">
        <f>+C59+$N$12</f>
        <v>11.27</v>
      </c>
      <c r="D64" s="285">
        <v>0.35199999999999998</v>
      </c>
      <c r="E64" s="285">
        <v>0.42</v>
      </c>
      <c r="F64" s="143" t="s">
        <v>75</v>
      </c>
      <c r="G64" s="144">
        <v>0</v>
      </c>
      <c r="H64" s="145"/>
      <c r="I64" s="146"/>
      <c r="J64" s="147">
        <v>0.222</v>
      </c>
      <c r="K64" s="285">
        <f>+IF(E64&lt;=0.12,(J66),(IF(E64&lt;0.16,((J65+2*J66+J67)/4),IF(E64&gt;=0.16,((J64+3*J65+2*J66+3*J67+J68)/10)))))</f>
        <v>0.29580000000000001</v>
      </c>
      <c r="L64" s="285">
        <f>ROUND(+(D59+D64)/2*(C64-C59),3)</f>
        <v>0.41399999999999998</v>
      </c>
      <c r="M64" s="285">
        <f>ROUND(+K64*L64,4)</f>
        <v>0.1225</v>
      </c>
      <c r="N64" s="288">
        <f>ROUND(+M64/$M$98*100,2)</f>
        <v>6.13</v>
      </c>
      <c r="O64" s="289"/>
      <c r="P64" s="290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spans="1:26" s="142" customFormat="1" ht="13.5" customHeight="1" x14ac:dyDescent="0.25">
      <c r="A65" s="132"/>
      <c r="B65" s="306"/>
      <c r="C65" s="286"/>
      <c r="D65" s="286"/>
      <c r="E65" s="286"/>
      <c r="F65" s="148" t="s">
        <v>76</v>
      </c>
      <c r="G65" s="149">
        <f>IF(E64&lt;0.125,"NA",IF(0.125&lt;=E64,(0.2*E64)))</f>
        <v>8.4000000000000005E-2</v>
      </c>
      <c r="H65" s="150"/>
      <c r="I65" s="151"/>
      <c r="J65" s="152">
        <v>0.222</v>
      </c>
      <c r="K65" s="286"/>
      <c r="L65" s="286"/>
      <c r="M65" s="286"/>
      <c r="N65" s="286"/>
      <c r="O65" s="286"/>
      <c r="P65" s="291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spans="1:26" s="142" customFormat="1" ht="13.5" customHeight="1" x14ac:dyDescent="0.25">
      <c r="A66" s="132"/>
      <c r="B66" s="306"/>
      <c r="C66" s="286"/>
      <c r="D66" s="286"/>
      <c r="E66" s="286"/>
      <c r="F66" s="148" t="s">
        <v>77</v>
      </c>
      <c r="G66" s="149">
        <f>+E64*0.4</f>
        <v>0.16800000000000001</v>
      </c>
      <c r="H66" s="150"/>
      <c r="I66" s="151"/>
      <c r="J66" s="152">
        <v>0.30599999999999999</v>
      </c>
      <c r="K66" s="286"/>
      <c r="L66" s="286"/>
      <c r="M66" s="286"/>
      <c r="N66" s="286"/>
      <c r="O66" s="286"/>
      <c r="P66" s="291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spans="1:26" s="142" customFormat="1" ht="13.5" customHeight="1" x14ac:dyDescent="0.25">
      <c r="A67" s="132"/>
      <c r="B67" s="306"/>
      <c r="C67" s="286"/>
      <c r="D67" s="286"/>
      <c r="E67" s="286"/>
      <c r="F67" s="148" t="s">
        <v>78</v>
      </c>
      <c r="G67" s="149">
        <f>IF(E64&lt;0.125,"NA",IF(0.125&lt;=E64,(0.8*E64)))</f>
        <v>0.33600000000000002</v>
      </c>
      <c r="H67" s="150"/>
      <c r="I67" s="151"/>
      <c r="J67" s="152">
        <v>0.35299999999999998</v>
      </c>
      <c r="K67" s="286"/>
      <c r="L67" s="286"/>
      <c r="M67" s="286"/>
      <c r="N67" s="286"/>
      <c r="O67" s="286"/>
      <c r="P67" s="291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spans="1:26" s="142" customFormat="1" ht="13.5" customHeight="1" thickBot="1" x14ac:dyDescent="0.3">
      <c r="A68" s="132"/>
      <c r="B68" s="307"/>
      <c r="C68" s="287"/>
      <c r="D68" s="287"/>
      <c r="E68" s="287"/>
      <c r="F68" s="153" t="s">
        <v>79</v>
      </c>
      <c r="G68" s="154">
        <f>+E64</f>
        <v>0.42</v>
      </c>
      <c r="H68" s="155"/>
      <c r="I68" s="156"/>
      <c r="J68" s="157">
        <v>0.39900000000000002</v>
      </c>
      <c r="K68" s="287"/>
      <c r="L68" s="287"/>
      <c r="M68" s="287"/>
      <c r="N68" s="287"/>
      <c r="O68" s="287"/>
      <c r="P68" s="29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spans="1:26" s="142" customFormat="1" ht="13.5" customHeight="1" x14ac:dyDescent="0.25">
      <c r="A69" s="132"/>
      <c r="B69" s="305">
        <v>11</v>
      </c>
      <c r="C69" s="308">
        <f>+C64+$N$12</f>
        <v>12.27</v>
      </c>
      <c r="D69" s="285">
        <v>0.30399999999999999</v>
      </c>
      <c r="E69" s="285">
        <v>0.29099999999999998</v>
      </c>
      <c r="F69" s="143" t="s">
        <v>75</v>
      </c>
      <c r="G69" s="144">
        <v>0</v>
      </c>
      <c r="H69" s="145"/>
      <c r="I69" s="146"/>
      <c r="J69" s="147">
        <v>0.13</v>
      </c>
      <c r="K69" s="285">
        <f>+IF(E69&lt;=0.12,(J71),(IF(E69&lt;0.16,((J70+2*J71+J72)/4),IF(E69&gt;=0.16,((J69+3*J70+2*J71+3*J72+J73)/10)))))</f>
        <v>0.25059999999999999</v>
      </c>
      <c r="L69" s="285">
        <f>ROUND(+(D64+D69)/2*(C69-C64),3)</f>
        <v>0.32800000000000001</v>
      </c>
      <c r="M69" s="285">
        <f>ROUND(+K69*L69,4)</f>
        <v>8.2199999999999995E-2</v>
      </c>
      <c r="N69" s="288">
        <f>ROUND(+M69/$M$98*100,2)</f>
        <v>4.1100000000000003</v>
      </c>
      <c r="O69" s="289"/>
      <c r="P69" s="290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spans="1:26" s="142" customFormat="1" ht="13.5" customHeight="1" x14ac:dyDescent="0.25">
      <c r="A70" s="132"/>
      <c r="B70" s="306"/>
      <c r="C70" s="286"/>
      <c r="D70" s="286"/>
      <c r="E70" s="286"/>
      <c r="F70" s="148" t="s">
        <v>76</v>
      </c>
      <c r="G70" s="149">
        <f>IF(E69&lt;0.125,"NA",IF(0.125&lt;=E69,(0.2*E69)))</f>
        <v>5.8200000000000002E-2</v>
      </c>
      <c r="H70" s="150"/>
      <c r="I70" s="151"/>
      <c r="J70" s="152">
        <v>0.20899999999999999</v>
      </c>
      <c r="K70" s="286"/>
      <c r="L70" s="286"/>
      <c r="M70" s="286"/>
      <c r="N70" s="286"/>
      <c r="O70" s="286"/>
      <c r="P70" s="291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spans="1:26" s="142" customFormat="1" ht="13.5" customHeight="1" x14ac:dyDescent="0.25">
      <c r="A71" s="132"/>
      <c r="B71" s="306"/>
      <c r="C71" s="286"/>
      <c r="D71" s="286"/>
      <c r="E71" s="286"/>
      <c r="F71" s="148" t="s">
        <v>77</v>
      </c>
      <c r="G71" s="149">
        <f>+E69*0.4</f>
        <v>0.1164</v>
      </c>
      <c r="H71" s="150"/>
      <c r="I71" s="151"/>
      <c r="J71" s="152">
        <v>0.3</v>
      </c>
      <c r="K71" s="286"/>
      <c r="L71" s="286"/>
      <c r="M71" s="286"/>
      <c r="N71" s="286"/>
      <c r="O71" s="286"/>
      <c r="P71" s="291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spans="1:26" s="142" customFormat="1" ht="13.5" customHeight="1" x14ac:dyDescent="0.25">
      <c r="A72" s="132"/>
      <c r="B72" s="306"/>
      <c r="C72" s="286"/>
      <c r="D72" s="286"/>
      <c r="E72" s="286"/>
      <c r="F72" s="148" t="s">
        <v>78</v>
      </c>
      <c r="G72" s="149">
        <f>IF(E69&lt;0.125,"NA",IF(0.125&lt;=E69,(0.8*E69)))</f>
        <v>0.23280000000000001</v>
      </c>
      <c r="H72" s="150"/>
      <c r="I72" s="151"/>
      <c r="J72" s="152">
        <v>0.28199999999999997</v>
      </c>
      <c r="K72" s="286"/>
      <c r="L72" s="286"/>
      <c r="M72" s="286"/>
      <c r="N72" s="286"/>
      <c r="O72" s="286"/>
      <c r="P72" s="291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spans="1:26" s="142" customFormat="1" ht="13.5" customHeight="1" thickBot="1" x14ac:dyDescent="0.3">
      <c r="A73" s="132"/>
      <c r="B73" s="307"/>
      <c r="C73" s="287"/>
      <c r="D73" s="287"/>
      <c r="E73" s="287"/>
      <c r="F73" s="153" t="s">
        <v>130</v>
      </c>
      <c r="G73" s="154">
        <f>+E69</f>
        <v>0.29099999999999998</v>
      </c>
      <c r="H73" s="155"/>
      <c r="I73" s="156"/>
      <c r="J73" s="157">
        <v>0.30299999999999999</v>
      </c>
      <c r="K73" s="287"/>
      <c r="L73" s="287"/>
      <c r="M73" s="287"/>
      <c r="N73" s="287"/>
      <c r="O73" s="287"/>
      <c r="P73" s="29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spans="1:26" s="142" customFormat="1" ht="13.5" customHeight="1" x14ac:dyDescent="0.25">
      <c r="A74" s="132"/>
      <c r="B74" s="305">
        <v>12</v>
      </c>
      <c r="C74" s="308">
        <f>+C69+$N$12</f>
        <v>13.27</v>
      </c>
      <c r="D74" s="285">
        <v>9.5000000000000001E-2</v>
      </c>
      <c r="E74" s="285">
        <v>0.23499999999999999</v>
      </c>
      <c r="F74" s="143" t="s">
        <v>75</v>
      </c>
      <c r="G74" s="144">
        <v>0</v>
      </c>
      <c r="H74" s="145"/>
      <c r="I74" s="146"/>
      <c r="J74" s="147">
        <v>0.13100000000000001</v>
      </c>
      <c r="K74" s="285">
        <f>+IF(E74&lt;=0.12,(J76),(IF(E74&lt;0.16,((J75+2*J76+J77)/4),IF(E74&gt;=0.16,((J74+3*J75+2*J76+3*J77+J78)/10)))))</f>
        <v>0.14539999999999997</v>
      </c>
      <c r="L74" s="285">
        <f>ROUND(+(D69+D74)/2*(C74-C69),3)</f>
        <v>0.2</v>
      </c>
      <c r="M74" s="285">
        <f>ROUND(+K74*L74,4)</f>
        <v>2.9100000000000001E-2</v>
      </c>
      <c r="N74" s="288">
        <f>ROUND(+M74/$M$98*100,2)</f>
        <v>1.46</v>
      </c>
      <c r="O74" s="289"/>
      <c r="P74" s="290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 spans="1:26" s="142" customFormat="1" ht="13.5" customHeight="1" x14ac:dyDescent="0.25">
      <c r="A75" s="132"/>
      <c r="B75" s="306"/>
      <c r="C75" s="286"/>
      <c r="D75" s="286"/>
      <c r="E75" s="286"/>
      <c r="F75" s="148" t="s">
        <v>76</v>
      </c>
      <c r="G75" s="149">
        <f>IF(E74&lt;0.125,"NA",IF(0.125&lt;=E74,(0.2*E74)))</f>
        <v>4.7E-2</v>
      </c>
      <c r="H75" s="150"/>
      <c r="I75" s="151"/>
      <c r="J75" s="152">
        <v>0.14199999999999999</v>
      </c>
      <c r="K75" s="286"/>
      <c r="L75" s="286"/>
      <c r="M75" s="286"/>
      <c r="N75" s="286"/>
      <c r="O75" s="286"/>
      <c r="P75" s="291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 spans="1:26" s="142" customFormat="1" ht="13.5" customHeight="1" x14ac:dyDescent="0.25">
      <c r="A76" s="132"/>
      <c r="B76" s="306"/>
      <c r="C76" s="286"/>
      <c r="D76" s="286"/>
      <c r="E76" s="286"/>
      <c r="F76" s="148" t="s">
        <v>77</v>
      </c>
      <c r="G76" s="149">
        <f>+E74*0.4</f>
        <v>9.4E-2</v>
      </c>
      <c r="H76" s="150"/>
      <c r="I76" s="151"/>
      <c r="J76" s="152">
        <v>0.14599999999999999</v>
      </c>
      <c r="K76" s="286"/>
      <c r="L76" s="286"/>
      <c r="M76" s="286"/>
      <c r="N76" s="286"/>
      <c r="O76" s="286"/>
      <c r="P76" s="291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 spans="1:26" s="142" customFormat="1" ht="13.5" customHeight="1" x14ac:dyDescent="0.25">
      <c r="A77" s="132"/>
      <c r="B77" s="306"/>
      <c r="C77" s="286"/>
      <c r="D77" s="286"/>
      <c r="E77" s="286"/>
      <c r="F77" s="148" t="s">
        <v>78</v>
      </c>
      <c r="G77" s="149">
        <f>IF(E74&lt;0.125,"NA",IF(0.125&lt;=E74,(0.8*E74)))</f>
        <v>0.188</v>
      </c>
      <c r="H77" s="150"/>
      <c r="I77" s="151"/>
      <c r="J77" s="152">
        <v>0.161</v>
      </c>
      <c r="K77" s="286"/>
      <c r="L77" s="286"/>
      <c r="M77" s="286"/>
      <c r="N77" s="286"/>
      <c r="O77" s="286"/>
      <c r="P77" s="291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 spans="1:26" s="142" customFormat="1" ht="13.5" customHeight="1" thickBot="1" x14ac:dyDescent="0.3">
      <c r="A78" s="132"/>
      <c r="B78" s="307"/>
      <c r="C78" s="287"/>
      <c r="D78" s="287"/>
      <c r="E78" s="287"/>
      <c r="F78" s="153" t="s">
        <v>79</v>
      </c>
      <c r="G78" s="154">
        <f>+E74</f>
        <v>0.23499999999999999</v>
      </c>
      <c r="H78" s="155"/>
      <c r="I78" s="156"/>
      <c r="J78" s="157">
        <v>0.122</v>
      </c>
      <c r="K78" s="287"/>
      <c r="L78" s="287"/>
      <c r="M78" s="287"/>
      <c r="N78" s="287"/>
      <c r="O78" s="287"/>
      <c r="P78" s="29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 spans="1:26" s="158" customFormat="1" ht="13.5" customHeight="1" x14ac:dyDescent="0.2">
      <c r="B79" s="293" t="s">
        <v>28</v>
      </c>
      <c r="C79" s="296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8"/>
    </row>
    <row r="80" spans="1:26" s="158" customFormat="1" ht="14.1" customHeight="1" x14ac:dyDescent="0.2">
      <c r="B80" s="294"/>
      <c r="C80" s="299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1"/>
    </row>
    <row r="81" spans="1:26" s="158" customFormat="1" ht="14.1" customHeight="1" x14ac:dyDescent="0.2">
      <c r="B81" s="294"/>
      <c r="C81" s="299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1"/>
    </row>
    <row r="82" spans="1:26" s="158" customFormat="1" ht="14.1" customHeight="1" x14ac:dyDescent="0.2">
      <c r="B82" s="294"/>
      <c r="C82" s="299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1"/>
    </row>
    <row r="83" spans="1:26" s="158" customFormat="1" ht="14.1" customHeight="1" x14ac:dyDescent="0.2">
      <c r="B83" s="294"/>
      <c r="C83" s="299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1"/>
    </row>
    <row r="84" spans="1:26" s="158" customFormat="1" ht="14.1" customHeight="1" thickBot="1" x14ac:dyDescent="0.25">
      <c r="B84" s="295"/>
      <c r="C84" s="302"/>
      <c r="D84" s="303"/>
      <c r="E84" s="303"/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304"/>
    </row>
    <row r="85" spans="1:26" s="158" customFormat="1" ht="28.5" customHeight="1" thickBot="1" x14ac:dyDescent="0.25">
      <c r="A85" s="159"/>
      <c r="B85" s="160" t="s">
        <v>80</v>
      </c>
      <c r="C85" s="272" t="s">
        <v>131</v>
      </c>
      <c r="D85" s="272"/>
      <c r="E85" s="272"/>
      <c r="F85" s="272"/>
      <c r="G85" s="272"/>
      <c r="H85" s="273"/>
      <c r="I85" s="274"/>
      <c r="J85" s="160" t="s">
        <v>82</v>
      </c>
      <c r="K85" s="272" t="s">
        <v>83</v>
      </c>
      <c r="L85" s="272"/>
      <c r="M85" s="272"/>
      <c r="N85" s="272"/>
      <c r="O85" s="272"/>
      <c r="P85" s="273"/>
    </row>
    <row r="86" spans="1:26" s="158" customFormat="1" ht="28.5" customHeight="1" thickBot="1" x14ac:dyDescent="0.25">
      <c r="B86" s="161" t="s">
        <v>84</v>
      </c>
      <c r="C86" s="276" t="s">
        <v>85</v>
      </c>
      <c r="D86" s="276"/>
      <c r="E86" s="276"/>
      <c r="F86" s="276"/>
      <c r="G86" s="276"/>
      <c r="H86" s="277"/>
      <c r="I86" s="275"/>
      <c r="J86" s="161" t="s">
        <v>86</v>
      </c>
      <c r="K86" s="276" t="s">
        <v>87</v>
      </c>
      <c r="L86" s="276"/>
      <c r="M86" s="276"/>
      <c r="N86" s="276"/>
      <c r="O86" s="276"/>
      <c r="P86" s="277"/>
    </row>
    <row r="87" spans="1:26" ht="13.5" customHeight="1" x14ac:dyDescent="0.25">
      <c r="A87" s="162"/>
      <c r="B87" s="278">
        <v>6</v>
      </c>
      <c r="C87" s="281">
        <f t="shared" ref="C87:D87" si="0">+C39</f>
        <v>6.27</v>
      </c>
      <c r="D87" s="283">
        <f t="shared" si="0"/>
        <v>0.69</v>
      </c>
      <c r="E87" s="283">
        <f>+E44</f>
        <v>0.70499999999999996</v>
      </c>
      <c r="F87" s="163" t="s">
        <v>75</v>
      </c>
      <c r="G87" s="163">
        <v>0.01</v>
      </c>
      <c r="H87" s="164"/>
      <c r="I87" s="165"/>
      <c r="J87" s="166">
        <v>0.188</v>
      </c>
      <c r="K87" s="284">
        <f>+AVERAGE(J87:J97)</f>
        <v>0.46181818181818191</v>
      </c>
      <c r="L87" s="263">
        <f>ROUND(+(D87+D92)/2*(C92-C87),3)</f>
        <v>0.74299999999999999</v>
      </c>
      <c r="M87" s="266">
        <f>ROUND(+K87*L87,4)</f>
        <v>0.34310000000000002</v>
      </c>
      <c r="N87" s="263">
        <f>ROUND(+M87/$M$98*100,2)</f>
        <v>17.16</v>
      </c>
      <c r="O87" s="263"/>
      <c r="P87" s="2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</row>
    <row r="88" spans="1:26" ht="13.5" customHeight="1" x14ac:dyDescent="0.25">
      <c r="A88" s="162"/>
      <c r="B88" s="279"/>
      <c r="C88" s="264"/>
      <c r="D88" s="264"/>
      <c r="E88" s="264"/>
      <c r="F88" s="168" t="s">
        <v>88</v>
      </c>
      <c r="G88" s="169">
        <f>+E87*0.1</f>
        <v>7.0499999999999993E-2</v>
      </c>
      <c r="H88" s="170"/>
      <c r="I88" s="171"/>
      <c r="J88" s="172">
        <v>0.39100000000000001</v>
      </c>
      <c r="K88" s="264"/>
      <c r="L88" s="264"/>
      <c r="M88" s="264"/>
      <c r="N88" s="264"/>
      <c r="O88" s="264"/>
      <c r="P88" s="268"/>
      <c r="Q88" s="167"/>
      <c r="R88" s="167"/>
      <c r="S88" s="167"/>
      <c r="T88" s="167"/>
      <c r="U88" s="167"/>
      <c r="V88" s="167"/>
      <c r="W88" s="167"/>
      <c r="X88" s="167"/>
      <c r="Y88" s="167"/>
      <c r="Z88" s="167"/>
    </row>
    <row r="89" spans="1:26" ht="13.5" customHeight="1" x14ac:dyDescent="0.25">
      <c r="A89" s="162"/>
      <c r="B89" s="279"/>
      <c r="C89" s="264"/>
      <c r="D89" s="264"/>
      <c r="E89" s="264"/>
      <c r="F89" s="168" t="s">
        <v>89</v>
      </c>
      <c r="G89" s="169">
        <f>+E87*0.2</f>
        <v>0.14099999999999999</v>
      </c>
      <c r="H89" s="170"/>
      <c r="I89" s="171"/>
      <c r="J89" s="172">
        <v>0.41899999999999998</v>
      </c>
      <c r="K89" s="264"/>
      <c r="L89" s="264"/>
      <c r="M89" s="264"/>
      <c r="N89" s="264"/>
      <c r="O89" s="264"/>
      <c r="P89" s="268"/>
      <c r="Q89" s="167"/>
      <c r="R89" s="167"/>
      <c r="S89" s="167"/>
      <c r="T89" s="167"/>
      <c r="U89" s="167"/>
      <c r="V89" s="167"/>
      <c r="W89" s="167"/>
      <c r="X89" s="167"/>
      <c r="Y89" s="167"/>
      <c r="Z89" s="167"/>
    </row>
    <row r="90" spans="1:26" ht="13.5" customHeight="1" x14ac:dyDescent="0.25">
      <c r="A90" s="162"/>
      <c r="B90" s="279"/>
      <c r="C90" s="264"/>
      <c r="D90" s="264"/>
      <c r="E90" s="264"/>
      <c r="F90" s="168" t="s">
        <v>90</v>
      </c>
      <c r="G90" s="169">
        <f>+E87*0.3</f>
        <v>0.21149999999999999</v>
      </c>
      <c r="H90" s="170"/>
      <c r="I90" s="171"/>
      <c r="J90" s="172">
        <v>0.49</v>
      </c>
      <c r="K90" s="264"/>
      <c r="L90" s="264"/>
      <c r="M90" s="264"/>
      <c r="N90" s="264"/>
      <c r="O90" s="264"/>
      <c r="P90" s="268"/>
      <c r="Q90" s="167"/>
      <c r="R90" s="167"/>
      <c r="S90" s="167"/>
      <c r="T90" s="167"/>
      <c r="U90" s="167"/>
      <c r="V90" s="167"/>
      <c r="W90" s="167"/>
      <c r="X90" s="167"/>
      <c r="Y90" s="167"/>
      <c r="Z90" s="167"/>
    </row>
    <row r="91" spans="1:26" ht="13.5" customHeight="1" x14ac:dyDescent="0.25">
      <c r="A91" s="162"/>
      <c r="B91" s="279"/>
      <c r="C91" s="282"/>
      <c r="D91" s="282"/>
      <c r="E91" s="264"/>
      <c r="F91" s="168" t="s">
        <v>91</v>
      </c>
      <c r="G91" s="169">
        <f>+E87*0.4</f>
        <v>0.28199999999999997</v>
      </c>
      <c r="H91" s="170"/>
      <c r="I91" s="171"/>
      <c r="J91" s="172">
        <v>0.42499999999999999</v>
      </c>
      <c r="K91" s="264"/>
      <c r="L91" s="264"/>
      <c r="M91" s="264"/>
      <c r="N91" s="264"/>
      <c r="O91" s="264"/>
      <c r="P91" s="268"/>
      <c r="Q91" s="167"/>
      <c r="R91" s="167"/>
      <c r="S91" s="167"/>
      <c r="T91" s="167"/>
      <c r="U91" s="167"/>
      <c r="V91" s="167"/>
      <c r="W91" s="167"/>
      <c r="X91" s="167"/>
      <c r="Y91" s="167"/>
      <c r="Z91" s="167"/>
    </row>
    <row r="92" spans="1:26" ht="13.5" customHeight="1" x14ac:dyDescent="0.25">
      <c r="A92" s="162"/>
      <c r="B92" s="279"/>
      <c r="C92" s="270">
        <f t="shared" ref="C92:D92" si="1">+C44</f>
        <v>7.27</v>
      </c>
      <c r="D92" s="271">
        <f t="shared" si="1"/>
        <v>0.79500000000000004</v>
      </c>
      <c r="E92" s="264"/>
      <c r="F92" s="168" t="s">
        <v>29</v>
      </c>
      <c r="G92" s="169">
        <f>+E87*0.5</f>
        <v>0.35249999999999998</v>
      </c>
      <c r="H92" s="170"/>
      <c r="I92" s="171"/>
      <c r="J92" s="172">
        <v>0.46</v>
      </c>
      <c r="K92" s="264"/>
      <c r="L92" s="264"/>
      <c r="M92" s="264"/>
      <c r="N92" s="264"/>
      <c r="O92" s="264"/>
      <c r="P92" s="268"/>
      <c r="Q92" s="167"/>
      <c r="R92" s="167"/>
      <c r="S92" s="167"/>
      <c r="T92" s="167"/>
      <c r="U92" s="167"/>
      <c r="V92" s="167"/>
      <c r="W92" s="167"/>
      <c r="X92" s="167"/>
      <c r="Y92" s="167"/>
      <c r="Z92" s="167"/>
    </row>
    <row r="93" spans="1:26" ht="13.5" customHeight="1" x14ac:dyDescent="0.25">
      <c r="A93" s="162"/>
      <c r="B93" s="279"/>
      <c r="C93" s="264"/>
      <c r="D93" s="264"/>
      <c r="E93" s="264"/>
      <c r="F93" s="168" t="s">
        <v>92</v>
      </c>
      <c r="G93" s="169">
        <f>+E87*0.6</f>
        <v>0.42299999999999999</v>
      </c>
      <c r="H93" s="170"/>
      <c r="I93" s="171"/>
      <c r="J93" s="172">
        <v>0.51100000000000001</v>
      </c>
      <c r="K93" s="264"/>
      <c r="L93" s="264"/>
      <c r="M93" s="264"/>
      <c r="N93" s="264"/>
      <c r="O93" s="264"/>
      <c r="P93" s="268"/>
      <c r="Q93" s="167"/>
      <c r="R93" s="167"/>
      <c r="S93" s="167"/>
      <c r="T93" s="167"/>
      <c r="U93" s="167"/>
      <c r="V93" s="167"/>
      <c r="W93" s="167"/>
      <c r="X93" s="167"/>
      <c r="Y93" s="167"/>
      <c r="Z93" s="167"/>
    </row>
    <row r="94" spans="1:26" ht="13.5" customHeight="1" x14ac:dyDescent="0.25">
      <c r="A94" s="162"/>
      <c r="B94" s="279"/>
      <c r="C94" s="264"/>
      <c r="D94" s="264"/>
      <c r="E94" s="264"/>
      <c r="F94" s="168" t="s">
        <v>93</v>
      </c>
      <c r="G94" s="169">
        <f>+E87*0.7</f>
        <v>0.49349999999999994</v>
      </c>
      <c r="H94" s="170"/>
      <c r="I94" s="171"/>
      <c r="J94" s="172">
        <v>0.55000000000000004</v>
      </c>
      <c r="K94" s="264"/>
      <c r="L94" s="264"/>
      <c r="M94" s="264"/>
      <c r="N94" s="264"/>
      <c r="O94" s="264"/>
      <c r="P94" s="268"/>
      <c r="Q94" s="167"/>
      <c r="R94" s="167"/>
      <c r="S94" s="167"/>
      <c r="T94" s="167"/>
      <c r="U94" s="167"/>
      <c r="V94" s="167"/>
      <c r="W94" s="167"/>
      <c r="X94" s="167"/>
      <c r="Y94" s="167"/>
      <c r="Z94" s="167"/>
    </row>
    <row r="95" spans="1:26" ht="13.5" customHeight="1" x14ac:dyDescent="0.25">
      <c r="A95" s="162"/>
      <c r="B95" s="279"/>
      <c r="C95" s="264"/>
      <c r="D95" s="264"/>
      <c r="E95" s="264"/>
      <c r="F95" s="168" t="s">
        <v>94</v>
      </c>
      <c r="G95" s="169">
        <f>+E87*0.8</f>
        <v>0.56399999999999995</v>
      </c>
      <c r="H95" s="170"/>
      <c r="I95" s="171"/>
      <c r="J95" s="172">
        <v>0.51400000000000001</v>
      </c>
      <c r="K95" s="264"/>
      <c r="L95" s="264"/>
      <c r="M95" s="264"/>
      <c r="N95" s="264"/>
      <c r="O95" s="264"/>
      <c r="P95" s="268"/>
      <c r="Q95" s="167"/>
      <c r="R95" s="167"/>
      <c r="S95" s="167"/>
      <c r="T95" s="167"/>
      <c r="U95" s="167"/>
      <c r="V95" s="167"/>
      <c r="W95" s="167"/>
      <c r="X95" s="167"/>
      <c r="Y95" s="167"/>
      <c r="Z95" s="167"/>
    </row>
    <row r="96" spans="1:26" ht="13.5" customHeight="1" x14ac:dyDescent="0.25">
      <c r="A96" s="162"/>
      <c r="B96" s="279"/>
      <c r="C96" s="264"/>
      <c r="D96" s="264"/>
      <c r="E96" s="264"/>
      <c r="F96" s="168" t="s">
        <v>95</v>
      </c>
      <c r="G96" s="169">
        <f>+E87*0.9</f>
        <v>0.63449999999999995</v>
      </c>
      <c r="H96" s="170"/>
      <c r="I96" s="171"/>
      <c r="J96" s="172">
        <v>0.56999999999999995</v>
      </c>
      <c r="K96" s="264"/>
      <c r="L96" s="264"/>
      <c r="M96" s="264"/>
      <c r="N96" s="264"/>
      <c r="O96" s="264"/>
      <c r="P96" s="268"/>
      <c r="Q96" s="167"/>
      <c r="R96" s="167"/>
      <c r="S96" s="167"/>
      <c r="T96" s="167"/>
      <c r="U96" s="167"/>
      <c r="V96" s="167"/>
      <c r="W96" s="167"/>
      <c r="X96" s="167"/>
      <c r="Y96" s="167"/>
      <c r="Z96" s="167"/>
    </row>
    <row r="97" spans="1:26" ht="15.75" thickBot="1" x14ac:dyDescent="0.3">
      <c r="A97" s="162"/>
      <c r="B97" s="280"/>
      <c r="C97" s="265"/>
      <c r="D97" s="265"/>
      <c r="E97" s="265"/>
      <c r="F97" s="173" t="s">
        <v>30</v>
      </c>
      <c r="G97" s="173">
        <f>+E87</f>
        <v>0.70499999999999996</v>
      </c>
      <c r="H97" s="174"/>
      <c r="I97" s="175"/>
      <c r="J97" s="176">
        <v>0.56200000000000006</v>
      </c>
      <c r="K97" s="265"/>
      <c r="L97" s="265"/>
      <c r="M97" s="265"/>
      <c r="N97" s="265"/>
      <c r="O97" s="265"/>
      <c r="P97" s="269"/>
      <c r="Q97" s="167"/>
      <c r="R97" s="167"/>
      <c r="S97" s="167"/>
      <c r="T97" s="167"/>
      <c r="U97" s="167"/>
      <c r="V97" s="167"/>
      <c r="W97" s="167"/>
      <c r="X97" s="167"/>
      <c r="Y97" s="167"/>
      <c r="Z97" s="167"/>
    </row>
    <row r="98" spans="1:26" s="158" customFormat="1" ht="12.75" x14ac:dyDescent="0.2">
      <c r="A98" s="177"/>
      <c r="B98" s="251" t="s">
        <v>104</v>
      </c>
      <c r="C98" s="251"/>
      <c r="D98" s="251"/>
      <c r="E98" s="251"/>
      <c r="F98" s="251"/>
      <c r="G98" s="251"/>
      <c r="H98" s="251"/>
      <c r="I98" s="251"/>
      <c r="J98" s="251"/>
      <c r="K98" s="178">
        <f>ROUND(+M98/L98,3)</f>
        <v>0.39700000000000002</v>
      </c>
      <c r="L98" s="179">
        <f>SUM(L19:L97)</f>
        <v>5.0430000000000001</v>
      </c>
      <c r="M98" s="180">
        <f t="shared" ref="M98" si="2">SUM(M19:M97)</f>
        <v>1.9997999999999998</v>
      </c>
      <c r="N98" s="181">
        <f>ROUND(SUM(N19:N97),0)</f>
        <v>100</v>
      </c>
      <c r="O98" s="253" t="s">
        <v>31</v>
      </c>
      <c r="P98" s="255"/>
    </row>
    <row r="99" spans="1:26" s="158" customFormat="1" ht="15" customHeight="1" thickBot="1" x14ac:dyDescent="0.25">
      <c r="A99" s="177"/>
      <c r="B99" s="252"/>
      <c r="C99" s="252"/>
      <c r="D99" s="252"/>
      <c r="E99" s="252"/>
      <c r="F99" s="252"/>
      <c r="G99" s="252"/>
      <c r="H99" s="252"/>
      <c r="I99" s="252"/>
      <c r="J99" s="252"/>
      <c r="K99" s="182" t="s">
        <v>32</v>
      </c>
      <c r="L99" s="182" t="s">
        <v>132</v>
      </c>
      <c r="M99" s="182" t="s">
        <v>133</v>
      </c>
      <c r="N99" s="182" t="s">
        <v>33</v>
      </c>
      <c r="O99" s="254"/>
      <c r="P99" s="256"/>
    </row>
    <row r="100" spans="1:26" s="184" customFormat="1" ht="15" customHeight="1" thickBot="1" x14ac:dyDescent="0.3">
      <c r="A100" s="183"/>
      <c r="B100" s="257" t="s">
        <v>96</v>
      </c>
      <c r="C100" s="258"/>
      <c r="D100" s="258"/>
      <c r="E100" s="258"/>
      <c r="F100" s="259"/>
      <c r="G100" s="257" t="s">
        <v>97</v>
      </c>
      <c r="H100" s="258"/>
      <c r="I100" s="258"/>
      <c r="J100" s="258"/>
      <c r="K100" s="259"/>
      <c r="L100" s="260" t="s">
        <v>49</v>
      </c>
      <c r="M100" s="261"/>
      <c r="N100" s="261"/>
      <c r="O100" s="261"/>
      <c r="P100" s="262"/>
    </row>
    <row r="101" spans="1:26" s="184" customFormat="1" ht="15" customHeight="1" x14ac:dyDescent="0.25">
      <c r="A101" s="183"/>
      <c r="B101" s="221"/>
      <c r="C101" s="222"/>
      <c r="D101" s="222"/>
      <c r="E101" s="222"/>
      <c r="F101" s="223"/>
      <c r="G101" s="221"/>
      <c r="H101" s="222"/>
      <c r="I101" s="222"/>
      <c r="J101" s="222"/>
      <c r="K101" s="223"/>
      <c r="L101" s="230" t="s">
        <v>98</v>
      </c>
      <c r="M101" s="231"/>
      <c r="N101" s="231"/>
      <c r="O101" s="232">
        <f>+AVERAGE(E18:E78)</f>
        <v>0.40700000000000008</v>
      </c>
      <c r="P101" s="233"/>
    </row>
    <row r="102" spans="1:26" s="184" customFormat="1" ht="15" customHeight="1" thickBot="1" x14ac:dyDescent="0.3">
      <c r="A102" s="183"/>
      <c r="B102" s="224"/>
      <c r="C102" s="225"/>
      <c r="D102" s="225"/>
      <c r="E102" s="225"/>
      <c r="F102" s="226"/>
      <c r="G102" s="224"/>
      <c r="H102" s="225"/>
      <c r="I102" s="225"/>
      <c r="J102" s="225"/>
      <c r="K102" s="226"/>
      <c r="L102" s="234" t="s">
        <v>99</v>
      </c>
      <c r="M102" s="235"/>
      <c r="N102" s="235"/>
      <c r="O102" s="236">
        <f>MAX(E18:E78)</f>
        <v>0.70499999999999996</v>
      </c>
      <c r="P102" s="237"/>
    </row>
    <row r="103" spans="1:26" s="184" customFormat="1" ht="18.600000000000001" customHeight="1" x14ac:dyDescent="0.25">
      <c r="A103" s="185"/>
      <c r="B103" s="224"/>
      <c r="C103" s="225"/>
      <c r="D103" s="225"/>
      <c r="E103" s="225"/>
      <c r="F103" s="226"/>
      <c r="G103" s="224"/>
      <c r="H103" s="225"/>
      <c r="I103" s="225"/>
      <c r="J103" s="225"/>
      <c r="K103" s="226"/>
      <c r="L103" s="238" t="s">
        <v>134</v>
      </c>
      <c r="M103" s="239"/>
      <c r="N103" s="239"/>
      <c r="O103" s="239"/>
      <c r="P103" s="240"/>
    </row>
    <row r="104" spans="1:26" s="184" customFormat="1" ht="42" customHeight="1" x14ac:dyDescent="0.25">
      <c r="A104" s="186"/>
      <c r="B104" s="224"/>
      <c r="C104" s="225"/>
      <c r="D104" s="225"/>
      <c r="E104" s="225"/>
      <c r="F104" s="226"/>
      <c r="G104" s="224"/>
      <c r="H104" s="225"/>
      <c r="I104" s="225"/>
      <c r="J104" s="225"/>
      <c r="K104" s="226"/>
      <c r="L104" s="241"/>
      <c r="M104" s="242"/>
      <c r="N104" s="242"/>
      <c r="O104" s="242"/>
      <c r="P104" s="243"/>
    </row>
    <row r="105" spans="1:26" s="184" customFormat="1" ht="15" customHeight="1" thickBot="1" x14ac:dyDescent="0.3">
      <c r="A105" s="183"/>
      <c r="B105" s="224"/>
      <c r="C105" s="225"/>
      <c r="D105" s="225"/>
      <c r="E105" s="225"/>
      <c r="F105" s="226"/>
      <c r="G105" s="224"/>
      <c r="H105" s="225"/>
      <c r="I105" s="225"/>
      <c r="J105" s="225"/>
      <c r="K105" s="226"/>
      <c r="L105" s="244"/>
      <c r="M105" s="245"/>
      <c r="N105" s="245"/>
      <c r="O105" s="245"/>
      <c r="P105" s="246"/>
    </row>
    <row r="106" spans="1:26" s="184" customFormat="1" ht="22.5" customHeight="1" thickBot="1" x14ac:dyDescent="0.3">
      <c r="A106" s="183"/>
      <c r="B106" s="224"/>
      <c r="C106" s="225"/>
      <c r="D106" s="225"/>
      <c r="E106" s="225"/>
      <c r="F106" s="226"/>
      <c r="G106" s="224"/>
      <c r="H106" s="225"/>
      <c r="I106" s="225"/>
      <c r="J106" s="225"/>
      <c r="K106" s="226"/>
      <c r="L106" s="247" t="s">
        <v>34</v>
      </c>
      <c r="M106" s="248"/>
      <c r="N106" s="248"/>
      <c r="O106" s="248"/>
      <c r="P106" s="187">
        <v>5.37</v>
      </c>
    </row>
    <row r="107" spans="1:26" s="184" customFormat="1" ht="32.25" customHeight="1" thickBot="1" x14ac:dyDescent="0.3">
      <c r="A107" s="183"/>
      <c r="B107" s="227"/>
      <c r="C107" s="228"/>
      <c r="D107" s="228"/>
      <c r="E107" s="228"/>
      <c r="F107" s="229"/>
      <c r="G107" s="227"/>
      <c r="H107" s="228"/>
      <c r="I107" s="228"/>
      <c r="J107" s="228"/>
      <c r="K107" s="229"/>
      <c r="L107" s="249" t="s">
        <v>135</v>
      </c>
      <c r="M107" s="250"/>
      <c r="N107" s="250"/>
      <c r="O107" s="250"/>
      <c r="P107" s="187" t="s">
        <v>136</v>
      </c>
    </row>
    <row r="108" spans="1:26" ht="23.25" customHeight="1" thickBot="1" x14ac:dyDescent="0.3">
      <c r="A108" s="101"/>
      <c r="B108" s="209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</row>
    <row r="109" spans="1:26" ht="14.25" customHeight="1" thickBot="1" x14ac:dyDescent="0.3">
      <c r="A109" s="210" t="s">
        <v>35</v>
      </c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2"/>
    </row>
    <row r="110" spans="1:26" ht="159" customHeight="1" thickBot="1" x14ac:dyDescent="0.3">
      <c r="A110" s="188"/>
      <c r="B110" s="213" t="s">
        <v>107</v>
      </c>
      <c r="C110" s="214"/>
      <c r="D110" s="214"/>
      <c r="E110" s="214"/>
      <c r="F110" s="215"/>
      <c r="G110" s="213" t="s">
        <v>137</v>
      </c>
      <c r="H110" s="214"/>
      <c r="I110" s="214"/>
      <c r="J110" s="214"/>
      <c r="K110" s="215"/>
      <c r="L110" s="216" t="s">
        <v>138</v>
      </c>
      <c r="M110" s="217"/>
      <c r="N110" s="217"/>
      <c r="O110" s="217"/>
      <c r="P110" s="218"/>
    </row>
    <row r="111" spans="1:26" ht="21.75" customHeight="1" thickBot="1" x14ac:dyDescent="0.3">
      <c r="A111" s="188"/>
      <c r="B111" s="219"/>
      <c r="C111" s="202"/>
      <c r="D111" s="202"/>
      <c r="E111" s="202"/>
      <c r="F111" s="220"/>
      <c r="G111" s="219"/>
      <c r="H111" s="202"/>
      <c r="I111" s="202"/>
      <c r="J111" s="202"/>
      <c r="K111" s="220"/>
      <c r="L111" s="219"/>
      <c r="M111" s="202"/>
      <c r="N111" s="202"/>
      <c r="O111" s="202"/>
      <c r="P111" s="203"/>
    </row>
    <row r="112" spans="1:26" ht="16.5" customHeight="1" thickBot="1" x14ac:dyDescent="0.3">
      <c r="A112" s="189"/>
      <c r="B112" s="201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3"/>
      <c r="Q112" s="190"/>
      <c r="R112" s="190"/>
      <c r="S112" s="190"/>
      <c r="T112" s="190"/>
    </row>
    <row r="113" spans="1:20" ht="15.75" customHeight="1" thickBot="1" x14ac:dyDescent="0.3">
      <c r="A113" s="204" t="s">
        <v>36</v>
      </c>
      <c r="B113" s="205"/>
      <c r="C113" s="206"/>
      <c r="D113" s="207"/>
      <c r="E113" s="205"/>
      <c r="F113" s="205"/>
      <c r="G113" s="205"/>
      <c r="H113" s="205"/>
      <c r="I113" s="206"/>
      <c r="J113" s="207" t="s">
        <v>37</v>
      </c>
      <c r="K113" s="206"/>
      <c r="L113" s="207"/>
      <c r="M113" s="205"/>
      <c r="N113" s="205"/>
      <c r="O113" s="205"/>
      <c r="P113" s="208"/>
      <c r="Q113" s="167"/>
      <c r="R113" s="167"/>
      <c r="S113" s="167"/>
      <c r="T113" s="167"/>
    </row>
    <row r="114" spans="1:20" ht="14.25" customHeight="1" x14ac:dyDescent="0.25"/>
    <row r="115" spans="1:20" ht="14.25" customHeight="1" x14ac:dyDescent="0.25"/>
    <row r="116" spans="1:20" ht="14.25" customHeight="1" x14ac:dyDescent="0.25"/>
    <row r="117" spans="1:20" ht="14.25" customHeight="1" x14ac:dyDescent="0.25"/>
    <row r="118" spans="1:20" ht="14.25" customHeight="1" x14ac:dyDescent="0.25"/>
    <row r="119" spans="1:20" ht="14.25" customHeight="1" x14ac:dyDescent="0.25"/>
    <row r="120" spans="1:20" ht="14.25" customHeight="1" x14ac:dyDescent="0.25"/>
    <row r="121" spans="1:20" ht="14.25" customHeight="1" x14ac:dyDescent="0.25"/>
    <row r="122" spans="1:20" ht="14.25" customHeight="1" x14ac:dyDescent="0.25"/>
    <row r="123" spans="1:20" ht="14.25" customHeight="1" x14ac:dyDescent="0.25"/>
    <row r="124" spans="1:20" ht="14.25" customHeight="1" x14ac:dyDescent="0.25"/>
    <row r="125" spans="1:20" ht="14.25" customHeight="1" x14ac:dyDescent="0.25"/>
    <row r="126" spans="1:20" ht="14.25" customHeight="1" x14ac:dyDescent="0.25"/>
    <row r="127" spans="1:20" ht="14.25" customHeight="1" x14ac:dyDescent="0.25"/>
    <row r="128" spans="1:20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22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74:M78"/>
    <mergeCell ref="N74:N78"/>
    <mergeCell ref="O74:O78"/>
    <mergeCell ref="P74:P78"/>
    <mergeCell ref="B79:B84"/>
    <mergeCell ref="C79:P84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C85:H85"/>
    <mergeCell ref="I85:I86"/>
    <mergeCell ref="K85:P85"/>
    <mergeCell ref="C86:H86"/>
    <mergeCell ref="K86:P86"/>
    <mergeCell ref="B87:B97"/>
    <mergeCell ref="C87:C91"/>
    <mergeCell ref="D87:D91"/>
    <mergeCell ref="E87:E97"/>
    <mergeCell ref="K87:K97"/>
    <mergeCell ref="B98:J99"/>
    <mergeCell ref="O98:O99"/>
    <mergeCell ref="P98:P99"/>
    <mergeCell ref="B100:F100"/>
    <mergeCell ref="G100:K100"/>
    <mergeCell ref="L100:P100"/>
    <mergeCell ref="L87:L97"/>
    <mergeCell ref="M87:M97"/>
    <mergeCell ref="N87:N97"/>
    <mergeCell ref="O87:O97"/>
    <mergeCell ref="P87:P97"/>
    <mergeCell ref="C92:C97"/>
    <mergeCell ref="D92:D97"/>
    <mergeCell ref="B101:F107"/>
    <mergeCell ref="G101:K107"/>
    <mergeCell ref="L101:N101"/>
    <mergeCell ref="O101:P101"/>
    <mergeCell ref="L102:N102"/>
    <mergeCell ref="O102:P102"/>
    <mergeCell ref="L103:P105"/>
    <mergeCell ref="L106:O106"/>
    <mergeCell ref="L107:O107"/>
    <mergeCell ref="B112:P112"/>
    <mergeCell ref="A113:C113"/>
    <mergeCell ref="D113:I113"/>
    <mergeCell ref="J113:K113"/>
    <mergeCell ref="L113:P113"/>
    <mergeCell ref="B108:P108"/>
    <mergeCell ref="A109:P109"/>
    <mergeCell ref="B110:F110"/>
    <mergeCell ref="G110:K110"/>
    <mergeCell ref="L110:P110"/>
    <mergeCell ref="B111:F111"/>
    <mergeCell ref="G111:K111"/>
    <mergeCell ref="L111:P11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zoomScaleNormal="100" workbookViewId="0">
      <selection activeCell="H5" sqref="H5:P5"/>
    </sheetView>
  </sheetViews>
  <sheetFormatPr baseColWidth="10" defaultColWidth="14.42578125" defaultRowHeight="15" customHeight="1" x14ac:dyDescent="0.25"/>
  <cols>
    <col min="1" max="1" width="0.140625" style="98" customWidth="1"/>
    <col min="2" max="2" width="9.5703125" style="98" customWidth="1"/>
    <col min="3" max="16" width="10.7109375" style="98" customWidth="1"/>
    <col min="17" max="24" width="11.42578125" style="98" customWidth="1"/>
    <col min="25" max="16384" width="14.42578125" style="98"/>
  </cols>
  <sheetData>
    <row r="1" spans="1:26" ht="4.5" customHeight="1" thickBot="1" x14ac:dyDescent="0.3">
      <c r="J1" s="99"/>
    </row>
    <row r="2" spans="1:26" s="2" customFormat="1" ht="30" customHeight="1" x14ac:dyDescent="0.25">
      <c r="A2" s="594"/>
      <c r="B2" s="595"/>
      <c r="C2" s="596"/>
      <c r="D2" s="597"/>
      <c r="E2" s="598" t="s">
        <v>144</v>
      </c>
      <c r="F2" s="599"/>
      <c r="G2" s="599"/>
      <c r="H2" s="599"/>
      <c r="I2" s="599"/>
      <c r="J2" s="599"/>
      <c r="K2" s="599"/>
      <c r="L2" s="599"/>
      <c r="M2" s="599"/>
      <c r="N2" s="599"/>
      <c r="O2" s="600"/>
      <c r="P2" s="601"/>
    </row>
    <row r="3" spans="1:26" s="2" customFormat="1" ht="25.5" customHeight="1" thickBot="1" x14ac:dyDescent="0.3">
      <c r="A3" s="594"/>
      <c r="B3" s="602"/>
      <c r="C3" s="603"/>
      <c r="D3" s="604"/>
      <c r="E3" s="605"/>
      <c r="F3" s="606"/>
      <c r="G3" s="606"/>
      <c r="H3" s="606"/>
      <c r="I3" s="606"/>
      <c r="J3" s="606"/>
      <c r="K3" s="606"/>
      <c r="L3" s="606"/>
      <c r="M3" s="606"/>
      <c r="N3" s="606"/>
      <c r="O3" s="607"/>
      <c r="P3" s="608"/>
    </row>
    <row r="4" spans="1:26" ht="11.25" customHeight="1" thickBot="1" x14ac:dyDescent="0.3">
      <c r="A4" s="100"/>
      <c r="B4" s="388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31.5" customHeight="1" thickBot="1" x14ac:dyDescent="0.3">
      <c r="A5" s="100"/>
      <c r="B5" s="102" t="s">
        <v>0</v>
      </c>
      <c r="C5" s="389">
        <v>43069</v>
      </c>
      <c r="D5" s="390"/>
      <c r="E5" s="103" t="s">
        <v>50</v>
      </c>
      <c r="F5" s="104">
        <v>2</v>
      </c>
      <c r="G5" s="105" t="s">
        <v>1</v>
      </c>
      <c r="H5" s="591" t="s">
        <v>145</v>
      </c>
      <c r="I5" s="592"/>
      <c r="J5" s="592"/>
      <c r="K5" s="592"/>
      <c r="L5" s="592"/>
      <c r="M5" s="592"/>
      <c r="N5" s="592"/>
      <c r="O5" s="592"/>
      <c r="P5" s="593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s="110" customFormat="1" ht="21.75" customHeight="1" thickBot="1" x14ac:dyDescent="0.3">
      <c r="A6" s="106"/>
      <c r="B6" s="372" t="s">
        <v>2</v>
      </c>
      <c r="C6" s="373"/>
      <c r="D6" s="374" t="s">
        <v>109</v>
      </c>
      <c r="E6" s="375"/>
      <c r="F6" s="375"/>
      <c r="G6" s="375"/>
      <c r="H6" s="375"/>
      <c r="I6" s="376"/>
      <c r="J6" s="107" t="s">
        <v>3</v>
      </c>
      <c r="K6" s="377" t="s">
        <v>110</v>
      </c>
      <c r="L6" s="376"/>
      <c r="M6" s="377" t="s">
        <v>111</v>
      </c>
      <c r="N6" s="378"/>
      <c r="O6" s="108" t="s">
        <v>51</v>
      </c>
      <c r="P6" s="109">
        <v>1773</v>
      </c>
    </row>
    <row r="7" spans="1:26" ht="21.75" customHeight="1" x14ac:dyDescent="0.25">
      <c r="B7" s="379" t="s">
        <v>52</v>
      </c>
      <c r="C7" s="380" t="s">
        <v>53</v>
      </c>
      <c r="D7" s="350"/>
      <c r="E7" s="111"/>
      <c r="F7" s="381" t="s">
        <v>54</v>
      </c>
      <c r="G7" s="382"/>
      <c r="H7" s="382"/>
      <c r="I7" s="382"/>
      <c r="J7" s="383" t="s">
        <v>55</v>
      </c>
      <c r="K7" s="384"/>
      <c r="L7" s="384"/>
      <c r="M7" s="385"/>
      <c r="N7" s="386" t="s">
        <v>112</v>
      </c>
      <c r="O7" s="387"/>
      <c r="P7" s="112" t="s">
        <v>56</v>
      </c>
    </row>
    <row r="8" spans="1:26" ht="21.75" customHeight="1" thickBot="1" x14ac:dyDescent="0.3">
      <c r="B8" s="324"/>
      <c r="C8" s="341" t="s">
        <v>57</v>
      </c>
      <c r="D8" s="340"/>
      <c r="E8" s="113" t="s">
        <v>4</v>
      </c>
      <c r="F8" s="351" t="s">
        <v>5</v>
      </c>
      <c r="G8" s="352"/>
      <c r="H8" s="352"/>
      <c r="I8" s="352"/>
      <c r="J8" s="353"/>
      <c r="K8" s="354"/>
      <c r="L8" s="354"/>
      <c r="M8" s="355"/>
      <c r="N8" s="356"/>
      <c r="O8" s="357"/>
      <c r="P8" s="114"/>
    </row>
    <row r="9" spans="1:26" ht="21.75" customHeight="1" x14ac:dyDescent="0.25">
      <c r="B9" s="358" t="s">
        <v>6</v>
      </c>
      <c r="C9" s="361" t="s">
        <v>58</v>
      </c>
      <c r="D9" s="362" t="s">
        <v>59</v>
      </c>
      <c r="E9" s="347"/>
      <c r="F9" s="115"/>
      <c r="G9" s="363" t="s">
        <v>7</v>
      </c>
      <c r="H9" s="364" t="s">
        <v>8</v>
      </c>
      <c r="I9" s="350"/>
      <c r="J9" s="116"/>
      <c r="K9" s="361" t="s">
        <v>60</v>
      </c>
      <c r="L9" s="365" t="s">
        <v>106</v>
      </c>
      <c r="M9" s="366"/>
      <c r="N9" s="367"/>
      <c r="O9" s="367"/>
      <c r="P9" s="368"/>
    </row>
    <row r="10" spans="1:26" ht="21.75" customHeight="1" thickBot="1" x14ac:dyDescent="0.3">
      <c r="B10" s="359"/>
      <c r="C10" s="307"/>
      <c r="D10" s="345" t="s">
        <v>61</v>
      </c>
      <c r="E10" s="340"/>
      <c r="F10" s="117" t="s">
        <v>4</v>
      </c>
      <c r="G10" s="307"/>
      <c r="H10" s="345" t="s">
        <v>9</v>
      </c>
      <c r="I10" s="340"/>
      <c r="J10" s="118" t="s">
        <v>4</v>
      </c>
      <c r="K10" s="307"/>
      <c r="L10" s="369"/>
      <c r="M10" s="370"/>
      <c r="N10" s="370"/>
      <c r="O10" s="370"/>
      <c r="P10" s="371"/>
    </row>
    <row r="11" spans="1:26" ht="21.75" customHeight="1" x14ac:dyDescent="0.25">
      <c r="A11" s="100"/>
      <c r="B11" s="359"/>
      <c r="C11" s="346" t="s">
        <v>10</v>
      </c>
      <c r="D11" s="347"/>
      <c r="E11" s="119">
        <v>0.64583333333333337</v>
      </c>
      <c r="F11" s="348" t="s">
        <v>11</v>
      </c>
      <c r="G11" s="347"/>
      <c r="H11" s="120">
        <v>0.42</v>
      </c>
      <c r="I11" s="349" t="s">
        <v>12</v>
      </c>
      <c r="J11" s="350"/>
      <c r="K11" s="120">
        <v>18</v>
      </c>
      <c r="L11" s="346" t="s">
        <v>13</v>
      </c>
      <c r="M11" s="347"/>
      <c r="N11" s="121">
        <v>13.3</v>
      </c>
      <c r="O11" s="337" t="s">
        <v>62</v>
      </c>
      <c r="P11" s="338"/>
    </row>
    <row r="12" spans="1:26" ht="21.75" customHeight="1" thickBot="1" x14ac:dyDescent="0.3">
      <c r="A12" s="100"/>
      <c r="B12" s="360"/>
      <c r="C12" s="339" t="s">
        <v>14</v>
      </c>
      <c r="D12" s="340"/>
      <c r="E12" s="119">
        <v>0.71875</v>
      </c>
      <c r="F12" s="341" t="s">
        <v>15</v>
      </c>
      <c r="G12" s="340"/>
      <c r="H12" s="120">
        <v>0.42</v>
      </c>
      <c r="I12" s="342" t="s">
        <v>16</v>
      </c>
      <c r="J12" s="340"/>
      <c r="K12" s="119">
        <v>0.64930555555555558</v>
      </c>
      <c r="L12" s="339" t="s">
        <v>17</v>
      </c>
      <c r="M12" s="340"/>
      <c r="N12" s="122">
        <v>1.2</v>
      </c>
      <c r="O12" s="343">
        <v>0.55000000000000004</v>
      </c>
      <c r="P12" s="344"/>
    </row>
    <row r="13" spans="1:26" ht="21.75" customHeight="1" x14ac:dyDescent="0.25">
      <c r="A13" s="100"/>
      <c r="B13" s="322" t="s">
        <v>18</v>
      </c>
      <c r="C13" s="325" t="s">
        <v>113</v>
      </c>
      <c r="D13" s="326"/>
      <c r="E13" s="326"/>
      <c r="F13" s="327" t="s">
        <v>114</v>
      </c>
      <c r="G13" s="326"/>
      <c r="H13" s="326"/>
      <c r="I13" s="326"/>
      <c r="J13" s="327" t="s">
        <v>115</v>
      </c>
      <c r="K13" s="326"/>
      <c r="L13" s="326"/>
      <c r="M13" s="326"/>
      <c r="N13" s="328" t="s">
        <v>116</v>
      </c>
      <c r="O13" s="326"/>
      <c r="P13" s="329"/>
      <c r="Q13" s="123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 ht="21.75" customHeight="1" x14ac:dyDescent="0.25">
      <c r="A14" s="100"/>
      <c r="B14" s="323"/>
      <c r="C14" s="330" t="s">
        <v>117</v>
      </c>
      <c r="D14" s="331"/>
      <c r="E14" s="331"/>
      <c r="F14" s="332" t="s">
        <v>118</v>
      </c>
      <c r="G14" s="331"/>
      <c r="H14" s="331"/>
      <c r="I14" s="331"/>
      <c r="J14" s="333" t="s">
        <v>119</v>
      </c>
      <c r="K14" s="331"/>
      <c r="L14" s="331"/>
      <c r="M14" s="331"/>
      <c r="N14" s="334"/>
      <c r="O14" s="319"/>
      <c r="P14" s="335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21.75" customHeight="1" thickBot="1" x14ac:dyDescent="0.3">
      <c r="A15" s="100"/>
      <c r="B15" s="324"/>
      <c r="C15" s="336" t="s">
        <v>120</v>
      </c>
      <c r="D15" s="309"/>
      <c r="E15" s="309"/>
      <c r="F15" s="309" t="s">
        <v>121</v>
      </c>
      <c r="G15" s="310"/>
      <c r="H15" s="310"/>
      <c r="I15" s="310"/>
      <c r="J15" s="309" t="s">
        <v>72</v>
      </c>
      <c r="K15" s="310"/>
      <c r="L15" s="310"/>
      <c r="M15" s="310"/>
      <c r="N15" s="311"/>
      <c r="O15" s="202"/>
      <c r="P15" s="203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21.75" customHeight="1" x14ac:dyDescent="0.25">
      <c r="A16" s="100"/>
      <c r="B16" s="312" t="s">
        <v>19</v>
      </c>
      <c r="C16" s="314" t="s">
        <v>20</v>
      </c>
      <c r="D16" s="314" t="s">
        <v>122</v>
      </c>
      <c r="E16" s="316" t="s">
        <v>21</v>
      </c>
      <c r="F16" s="317" t="s">
        <v>123</v>
      </c>
      <c r="G16" s="211"/>
      <c r="H16" s="314" t="s">
        <v>73</v>
      </c>
      <c r="I16" s="320" t="s">
        <v>74</v>
      </c>
      <c r="J16" s="124" t="s">
        <v>124</v>
      </c>
      <c r="K16" s="125"/>
      <c r="L16" s="126" t="s">
        <v>125</v>
      </c>
      <c r="M16" s="126" t="s">
        <v>126</v>
      </c>
      <c r="N16" s="126" t="s">
        <v>126</v>
      </c>
      <c r="O16" s="126" t="s">
        <v>127</v>
      </c>
      <c r="P16" s="127" t="s">
        <v>22</v>
      </c>
    </row>
    <row r="17" spans="1:26" ht="21.75" customHeight="1" thickBot="1" x14ac:dyDescent="0.3">
      <c r="A17" s="128"/>
      <c r="B17" s="313"/>
      <c r="C17" s="315"/>
      <c r="D17" s="315"/>
      <c r="E17" s="315"/>
      <c r="F17" s="318"/>
      <c r="G17" s="319"/>
      <c r="H17" s="315"/>
      <c r="I17" s="321"/>
      <c r="J17" s="129" t="s">
        <v>23</v>
      </c>
      <c r="K17" s="130" t="s">
        <v>24</v>
      </c>
      <c r="L17" s="130" t="s">
        <v>128</v>
      </c>
      <c r="M17" s="130" t="s">
        <v>129</v>
      </c>
      <c r="N17" s="130" t="s">
        <v>25</v>
      </c>
      <c r="O17" s="130" t="s">
        <v>26</v>
      </c>
      <c r="P17" s="131" t="s">
        <v>27</v>
      </c>
    </row>
    <row r="18" spans="1:26" s="142" customFormat="1" ht="21.75" customHeight="1" thickBot="1" x14ac:dyDescent="0.3">
      <c r="A18" s="132"/>
      <c r="B18" s="133"/>
      <c r="C18" s="134">
        <f>O12</f>
        <v>0.55000000000000004</v>
      </c>
      <c r="D18" s="134">
        <v>5.6000000000000001E-2</v>
      </c>
      <c r="E18" s="135"/>
      <c r="F18" s="136"/>
      <c r="G18" s="137"/>
      <c r="H18" s="138"/>
      <c r="I18" s="139"/>
      <c r="J18" s="140"/>
      <c r="K18" s="135"/>
      <c r="L18" s="135"/>
      <c r="M18" s="135"/>
      <c r="N18" s="135"/>
      <c r="O18" s="135"/>
      <c r="P18" s="141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 spans="1:26" s="142" customFormat="1" ht="13.5" customHeight="1" x14ac:dyDescent="0.25">
      <c r="A19" s="132"/>
      <c r="B19" s="305">
        <v>1</v>
      </c>
      <c r="C19" s="308">
        <f>+C18+$N$12</f>
        <v>1.75</v>
      </c>
      <c r="D19" s="285">
        <v>0.28499999999999998</v>
      </c>
      <c r="E19" s="285">
        <v>0.17599999999999999</v>
      </c>
      <c r="F19" s="143" t="s">
        <v>75</v>
      </c>
      <c r="G19" s="144">
        <v>0</v>
      </c>
      <c r="H19" s="145"/>
      <c r="I19" s="146"/>
      <c r="J19" s="147">
        <v>7.4999999999999997E-2</v>
      </c>
      <c r="K19" s="285">
        <f>+IF(E19&lt;=0.12,(J21),(IF(E19&lt;0.16,((J20+2*J21+J22)/4),IF(E19&gt;=0.16,((J19+3*J20+2*J21+3*J22+J23)/10)))))</f>
        <v>8.5199999999999998E-2</v>
      </c>
      <c r="L19" s="285">
        <f>ROUND(+(D18+D19)/2*(C19-C18),3)</f>
        <v>0.20499999999999999</v>
      </c>
      <c r="M19" s="285">
        <f>ROUND(+K19*L19,4)</f>
        <v>1.7500000000000002E-2</v>
      </c>
      <c r="N19" s="288">
        <f>ROUND(+M19/$M$93*100,2)</f>
        <v>0.63</v>
      </c>
      <c r="O19" s="289"/>
      <c r="P19" s="290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 spans="1:26" s="142" customFormat="1" ht="13.5" customHeight="1" x14ac:dyDescent="0.25">
      <c r="A20" s="132"/>
      <c r="B20" s="306"/>
      <c r="C20" s="286"/>
      <c r="D20" s="286"/>
      <c r="E20" s="286"/>
      <c r="F20" s="148" t="s">
        <v>76</v>
      </c>
      <c r="G20" s="149">
        <f>IF(E19&lt;0.125,"NA",IF(0.125&lt;=E19,(0.2*E19)))</f>
        <v>3.5200000000000002E-2</v>
      </c>
      <c r="H20" s="150"/>
      <c r="I20" s="151"/>
      <c r="J20" s="152">
        <v>7.4999999999999997E-2</v>
      </c>
      <c r="K20" s="286"/>
      <c r="L20" s="286"/>
      <c r="M20" s="286"/>
      <c r="N20" s="286"/>
      <c r="O20" s="286"/>
      <c r="P20" s="291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 spans="1:26" s="142" customFormat="1" ht="13.5" customHeight="1" x14ac:dyDescent="0.25">
      <c r="A21" s="132"/>
      <c r="B21" s="306"/>
      <c r="C21" s="286"/>
      <c r="D21" s="286"/>
      <c r="E21" s="286"/>
      <c r="F21" s="148" t="s">
        <v>77</v>
      </c>
      <c r="G21" s="149">
        <f>+E19*0.4</f>
        <v>7.0400000000000004E-2</v>
      </c>
      <c r="H21" s="150"/>
      <c r="I21" s="151"/>
      <c r="J21" s="152">
        <v>8.3000000000000004E-2</v>
      </c>
      <c r="K21" s="286"/>
      <c r="L21" s="286"/>
      <c r="M21" s="286"/>
      <c r="N21" s="286"/>
      <c r="O21" s="286"/>
      <c r="P21" s="291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spans="1:26" s="142" customFormat="1" ht="13.5" customHeight="1" x14ac:dyDescent="0.25">
      <c r="A22" s="132"/>
      <c r="B22" s="306"/>
      <c r="C22" s="286"/>
      <c r="D22" s="286"/>
      <c r="E22" s="286"/>
      <c r="F22" s="148" t="s">
        <v>78</v>
      </c>
      <c r="G22" s="149">
        <f>IF(E19&lt;0.125,"NA",IF(0.125&lt;=E19,(0.8*E19)))</f>
        <v>0.14080000000000001</v>
      </c>
      <c r="H22" s="150"/>
      <c r="I22" s="151"/>
      <c r="J22" s="152">
        <v>9.7000000000000003E-2</v>
      </c>
      <c r="K22" s="286"/>
      <c r="L22" s="286"/>
      <c r="M22" s="286"/>
      <c r="N22" s="286"/>
      <c r="O22" s="286"/>
      <c r="P22" s="291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spans="1:26" s="142" customFormat="1" ht="13.5" customHeight="1" thickBot="1" x14ac:dyDescent="0.3">
      <c r="A23" s="132"/>
      <c r="B23" s="307"/>
      <c r="C23" s="287"/>
      <c r="D23" s="287"/>
      <c r="E23" s="287"/>
      <c r="F23" s="153" t="s">
        <v>79</v>
      </c>
      <c r="G23" s="154">
        <f>+E19</f>
        <v>0.17599999999999999</v>
      </c>
      <c r="H23" s="155"/>
      <c r="I23" s="156"/>
      <c r="J23" s="157">
        <v>9.5000000000000001E-2</v>
      </c>
      <c r="K23" s="287"/>
      <c r="L23" s="287"/>
      <c r="M23" s="287"/>
      <c r="N23" s="287"/>
      <c r="O23" s="287"/>
      <c r="P23" s="29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 spans="1:26" s="142" customFormat="1" ht="13.5" customHeight="1" x14ac:dyDescent="0.25">
      <c r="A24" s="132"/>
      <c r="B24" s="305">
        <v>2</v>
      </c>
      <c r="C24" s="308">
        <f>+C19+$N$12</f>
        <v>2.95</v>
      </c>
      <c r="D24" s="285">
        <v>0.39500000000000002</v>
      </c>
      <c r="E24" s="285">
        <v>0.29899999999999999</v>
      </c>
      <c r="F24" s="143" t="s">
        <v>75</v>
      </c>
      <c r="G24" s="144">
        <v>0</v>
      </c>
      <c r="H24" s="145"/>
      <c r="I24" s="146"/>
      <c r="J24" s="147">
        <v>0.14899999999999999</v>
      </c>
      <c r="K24" s="285">
        <f>+IF(E24&lt;=0.12,(J26),(IF(E24&lt;0.16,((J25+2*J26+J27)/4),IF(E24&gt;=0.16,((J24+3*J25+2*J26+3*J27+J28)/10)))))</f>
        <v>0.19670000000000001</v>
      </c>
      <c r="L24" s="285">
        <f>ROUND(+(D19+D24)/2*(C24-C19),3)</f>
        <v>0.40799999999999997</v>
      </c>
      <c r="M24" s="285">
        <f>ROUND(+K24*L24,4)</f>
        <v>8.0299999999999996E-2</v>
      </c>
      <c r="N24" s="288">
        <f>ROUND(+M24/$M$93*100,2)</f>
        <v>2.9</v>
      </c>
      <c r="O24" s="289"/>
      <c r="P24" s="290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spans="1:26" s="142" customFormat="1" ht="13.5" customHeight="1" x14ac:dyDescent="0.25">
      <c r="A25" s="132"/>
      <c r="B25" s="306"/>
      <c r="C25" s="286"/>
      <c r="D25" s="286"/>
      <c r="E25" s="286"/>
      <c r="F25" s="148" t="s">
        <v>76</v>
      </c>
      <c r="G25" s="149">
        <f>IF(E24&lt;0.125,"NA",IF(0.125&lt;=E24,(0.2*E24)))</f>
        <v>5.9799999999999999E-2</v>
      </c>
      <c r="H25" s="150"/>
      <c r="I25" s="151"/>
      <c r="J25" s="152">
        <v>0.159</v>
      </c>
      <c r="K25" s="286"/>
      <c r="L25" s="286"/>
      <c r="M25" s="286"/>
      <c r="N25" s="286"/>
      <c r="O25" s="286"/>
      <c r="P25" s="291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spans="1:26" s="142" customFormat="1" ht="13.5" customHeight="1" x14ac:dyDescent="0.25">
      <c r="A26" s="132"/>
      <c r="B26" s="306"/>
      <c r="C26" s="286"/>
      <c r="D26" s="286"/>
      <c r="E26" s="286"/>
      <c r="F26" s="148" t="s">
        <v>77</v>
      </c>
      <c r="G26" s="149">
        <f>+E24*0.4</f>
        <v>0.1196</v>
      </c>
      <c r="H26" s="150"/>
      <c r="I26" s="151"/>
      <c r="J26" s="152">
        <v>0.25</v>
      </c>
      <c r="K26" s="286"/>
      <c r="L26" s="286"/>
      <c r="M26" s="286"/>
      <c r="N26" s="286"/>
      <c r="O26" s="286"/>
      <c r="P26" s="291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spans="1:26" s="142" customFormat="1" ht="13.5" customHeight="1" x14ac:dyDescent="0.25">
      <c r="A27" s="132"/>
      <c r="B27" s="306"/>
      <c r="C27" s="286"/>
      <c r="D27" s="286"/>
      <c r="E27" s="286"/>
      <c r="F27" s="148" t="s">
        <v>78</v>
      </c>
      <c r="G27" s="149">
        <f>IF(E24&lt;0.125,"NA",IF(0.125&lt;=E24,(0.8*E24)))</f>
        <v>0.2392</v>
      </c>
      <c r="H27" s="150"/>
      <c r="I27" s="151"/>
      <c r="J27" s="152">
        <v>0.216</v>
      </c>
      <c r="K27" s="286"/>
      <c r="L27" s="286"/>
      <c r="M27" s="286"/>
      <c r="N27" s="286"/>
      <c r="O27" s="286"/>
      <c r="P27" s="291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spans="1:26" s="142" customFormat="1" ht="13.5" customHeight="1" thickBot="1" x14ac:dyDescent="0.3">
      <c r="A28" s="132"/>
      <c r="B28" s="307"/>
      <c r="C28" s="287"/>
      <c r="D28" s="287"/>
      <c r="E28" s="287"/>
      <c r="F28" s="153" t="s">
        <v>79</v>
      </c>
      <c r="G28" s="154">
        <f>+E24</f>
        <v>0.29899999999999999</v>
      </c>
      <c r="H28" s="155"/>
      <c r="I28" s="156"/>
      <c r="J28" s="157">
        <v>0.193</v>
      </c>
      <c r="K28" s="287"/>
      <c r="L28" s="287"/>
      <c r="M28" s="287"/>
      <c r="N28" s="287"/>
      <c r="O28" s="287"/>
      <c r="P28" s="29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pans="1:26" s="142" customFormat="1" ht="13.5" customHeight="1" x14ac:dyDescent="0.25">
      <c r="A29" s="132"/>
      <c r="B29" s="305">
        <v>3</v>
      </c>
      <c r="C29" s="308">
        <f>+C24+$N$12</f>
        <v>4.1500000000000004</v>
      </c>
      <c r="D29" s="285">
        <v>0.46800000000000003</v>
      </c>
      <c r="E29" s="285">
        <v>0.40600000000000003</v>
      </c>
      <c r="F29" s="143" t="s">
        <v>75</v>
      </c>
      <c r="G29" s="144">
        <v>0</v>
      </c>
      <c r="H29" s="145"/>
      <c r="I29" s="146"/>
      <c r="J29" s="147">
        <v>0.23799999999999999</v>
      </c>
      <c r="K29" s="285">
        <f>+IF(E29&lt;=0.12,(J31),(IF(E29&lt;0.16,((J30+2*J31+J32)/4),IF(E29&gt;=0.16,((J29+3*J30+2*J31+3*J32+J33)/10)))))</f>
        <v>0.35199999999999998</v>
      </c>
      <c r="L29" s="285">
        <f>ROUND(+(D24+D29)/2*(C29-C24),3)</f>
        <v>0.51800000000000002</v>
      </c>
      <c r="M29" s="285">
        <f>ROUND(+K29*L29,4)</f>
        <v>0.18229999999999999</v>
      </c>
      <c r="N29" s="288">
        <f>ROUND(+M29/$M$93*100,2)</f>
        <v>6.59</v>
      </c>
      <c r="O29" s="289"/>
      <c r="P29" s="290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spans="1:26" s="142" customFormat="1" ht="13.5" customHeight="1" x14ac:dyDescent="0.25">
      <c r="A30" s="132"/>
      <c r="B30" s="306"/>
      <c r="C30" s="286"/>
      <c r="D30" s="286"/>
      <c r="E30" s="286"/>
      <c r="F30" s="148" t="s">
        <v>76</v>
      </c>
      <c r="G30" s="149">
        <f>IF(E29&lt;0.125,"NA",IF(0.125&lt;=E29,(0.2*E29)))</f>
        <v>8.1200000000000008E-2</v>
      </c>
      <c r="H30" s="150"/>
      <c r="I30" s="151"/>
      <c r="J30" s="152">
        <v>0.311</v>
      </c>
      <c r="K30" s="286"/>
      <c r="L30" s="286"/>
      <c r="M30" s="286"/>
      <c r="N30" s="286"/>
      <c r="O30" s="286"/>
      <c r="P30" s="291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spans="1:26" s="142" customFormat="1" ht="13.5" customHeight="1" x14ac:dyDescent="0.25">
      <c r="A31" s="132"/>
      <c r="B31" s="306"/>
      <c r="C31" s="286"/>
      <c r="D31" s="286"/>
      <c r="E31" s="286"/>
      <c r="F31" s="148" t="s">
        <v>77</v>
      </c>
      <c r="G31" s="149">
        <f>+E29*0.4</f>
        <v>0.16240000000000002</v>
      </c>
      <c r="H31" s="150"/>
      <c r="I31" s="151"/>
      <c r="J31" s="152">
        <v>0.35399999999999998</v>
      </c>
      <c r="K31" s="286"/>
      <c r="L31" s="286"/>
      <c r="M31" s="286"/>
      <c r="N31" s="286"/>
      <c r="O31" s="286"/>
      <c r="P31" s="291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spans="1:26" s="142" customFormat="1" ht="13.5" customHeight="1" x14ac:dyDescent="0.25">
      <c r="A32" s="132"/>
      <c r="B32" s="306"/>
      <c r="C32" s="286"/>
      <c r="D32" s="286"/>
      <c r="E32" s="286"/>
      <c r="F32" s="148" t="s">
        <v>78</v>
      </c>
      <c r="G32" s="149">
        <f>IF(E29&lt;0.125,"NA",IF(0.125&lt;=E29,(0.8*E29)))</f>
        <v>0.32480000000000003</v>
      </c>
      <c r="H32" s="150"/>
      <c r="I32" s="151"/>
      <c r="J32" s="152">
        <v>0.41699999999999998</v>
      </c>
      <c r="K32" s="286"/>
      <c r="L32" s="286"/>
      <c r="M32" s="286"/>
      <c r="N32" s="286"/>
      <c r="O32" s="286"/>
      <c r="P32" s="291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spans="1:26" s="142" customFormat="1" ht="13.5" customHeight="1" thickBot="1" x14ac:dyDescent="0.3">
      <c r="A33" s="132"/>
      <c r="B33" s="307"/>
      <c r="C33" s="287"/>
      <c r="D33" s="287"/>
      <c r="E33" s="287"/>
      <c r="F33" s="153" t="s">
        <v>79</v>
      </c>
      <c r="G33" s="154">
        <f>+E29</f>
        <v>0.40600000000000003</v>
      </c>
      <c r="H33" s="155"/>
      <c r="I33" s="156"/>
      <c r="J33" s="157">
        <v>0.39</v>
      </c>
      <c r="K33" s="287"/>
      <c r="L33" s="287"/>
      <c r="M33" s="287"/>
      <c r="N33" s="287"/>
      <c r="O33" s="287"/>
      <c r="P33" s="29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spans="1:26" s="142" customFormat="1" ht="13.5" customHeight="1" x14ac:dyDescent="0.25">
      <c r="A34" s="132"/>
      <c r="B34" s="305">
        <v>4</v>
      </c>
      <c r="C34" s="308">
        <f>+C29+$N$12</f>
        <v>5.3500000000000005</v>
      </c>
      <c r="D34" s="285">
        <v>0.69</v>
      </c>
      <c r="E34" s="285">
        <v>0.64100000000000001</v>
      </c>
      <c r="F34" s="143" t="s">
        <v>75</v>
      </c>
      <c r="G34" s="144">
        <v>0</v>
      </c>
      <c r="H34" s="145"/>
      <c r="I34" s="146"/>
      <c r="J34" s="147">
        <v>0.13300000000000001</v>
      </c>
      <c r="K34" s="285">
        <f>+IF(E34&lt;=0.12,(J36),(IF(E34&lt;0.16,((J35+2*J36+J37)/4),IF(E34&gt;=0.16,((J34+3*J35+2*J36+3*J37+J38)/10)))))</f>
        <v>0.36419999999999997</v>
      </c>
      <c r="L34" s="285">
        <f>ROUND(+(D29+D34)/2*(C34-C29),3)</f>
        <v>0.69499999999999995</v>
      </c>
      <c r="M34" s="285">
        <f>ROUND(+K34*L34,4)</f>
        <v>0.25309999999999999</v>
      </c>
      <c r="N34" s="288">
        <f>ROUND(+M34/$M$93*100,2)</f>
        <v>9.15</v>
      </c>
      <c r="O34" s="289"/>
      <c r="P34" s="290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spans="1:26" s="142" customFormat="1" ht="13.5" customHeight="1" x14ac:dyDescent="0.25">
      <c r="A35" s="132"/>
      <c r="B35" s="306"/>
      <c r="C35" s="286"/>
      <c r="D35" s="286"/>
      <c r="E35" s="286"/>
      <c r="F35" s="148" t="s">
        <v>76</v>
      </c>
      <c r="G35" s="149">
        <f>IF(E34&lt;0.125,"NA",IF(0.125&lt;=E34,(0.2*E34)))</f>
        <v>0.12820000000000001</v>
      </c>
      <c r="H35" s="150"/>
      <c r="I35" s="151"/>
      <c r="J35" s="152">
        <v>0.27800000000000002</v>
      </c>
      <c r="K35" s="286"/>
      <c r="L35" s="286"/>
      <c r="M35" s="286"/>
      <c r="N35" s="286"/>
      <c r="O35" s="286"/>
      <c r="P35" s="291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spans="1:26" s="142" customFormat="1" ht="13.5" customHeight="1" x14ac:dyDescent="0.25">
      <c r="A36" s="132"/>
      <c r="B36" s="306"/>
      <c r="C36" s="286"/>
      <c r="D36" s="286"/>
      <c r="E36" s="286"/>
      <c r="F36" s="148" t="s">
        <v>77</v>
      </c>
      <c r="G36" s="149">
        <f>+E34*0.4</f>
        <v>0.25640000000000002</v>
      </c>
      <c r="H36" s="150"/>
      <c r="I36" s="151"/>
      <c r="J36" s="152">
        <v>0.44600000000000001</v>
      </c>
      <c r="K36" s="286"/>
      <c r="L36" s="286"/>
      <c r="M36" s="286"/>
      <c r="N36" s="286"/>
      <c r="O36" s="286"/>
      <c r="P36" s="291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spans="1:26" s="142" customFormat="1" ht="13.5" customHeight="1" x14ac:dyDescent="0.25">
      <c r="A37" s="132"/>
      <c r="B37" s="306"/>
      <c r="C37" s="286"/>
      <c r="D37" s="286"/>
      <c r="E37" s="286"/>
      <c r="F37" s="148" t="s">
        <v>78</v>
      </c>
      <c r="G37" s="149">
        <f>IF(E34&lt;0.125,"NA",IF(0.125&lt;=E34,(0.8*E34)))</f>
        <v>0.51280000000000003</v>
      </c>
      <c r="H37" s="150"/>
      <c r="I37" s="151"/>
      <c r="J37" s="152">
        <v>0.435</v>
      </c>
      <c r="K37" s="286"/>
      <c r="L37" s="286"/>
      <c r="M37" s="286"/>
      <c r="N37" s="286"/>
      <c r="O37" s="286"/>
      <c r="P37" s="291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spans="1:26" s="142" customFormat="1" ht="13.5" customHeight="1" thickBot="1" x14ac:dyDescent="0.3">
      <c r="A38" s="132"/>
      <c r="B38" s="307"/>
      <c r="C38" s="287"/>
      <c r="D38" s="287"/>
      <c r="E38" s="287"/>
      <c r="F38" s="153" t="s">
        <v>79</v>
      </c>
      <c r="G38" s="154">
        <f>+E34</f>
        <v>0.64100000000000001</v>
      </c>
      <c r="H38" s="155"/>
      <c r="I38" s="156"/>
      <c r="J38" s="157">
        <v>0.47799999999999998</v>
      </c>
      <c r="K38" s="287"/>
      <c r="L38" s="287"/>
      <c r="M38" s="287"/>
      <c r="N38" s="287"/>
      <c r="O38" s="287"/>
      <c r="P38" s="29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spans="1:26" s="142" customFormat="1" ht="13.5" customHeight="1" x14ac:dyDescent="0.25">
      <c r="A39" s="132"/>
      <c r="B39" s="305">
        <v>5</v>
      </c>
      <c r="C39" s="308">
        <f>+C34+$N$12</f>
        <v>6.5500000000000007</v>
      </c>
      <c r="D39" s="285">
        <v>0.80200000000000005</v>
      </c>
      <c r="E39" s="285">
        <v>0.83899999999999997</v>
      </c>
      <c r="F39" s="143" t="s">
        <v>75</v>
      </c>
      <c r="G39" s="144">
        <v>0</v>
      </c>
      <c r="H39" s="145"/>
      <c r="I39" s="146"/>
      <c r="J39" s="147">
        <v>0.20599999999999999</v>
      </c>
      <c r="K39" s="285">
        <f>+IF(E39&lt;=0.12,(J41),(IF(E39&lt;0.16,((J40+2*J41+J42)/4),IF(E39&gt;=0.16,((J39+3*J40+2*J41+3*J42+J43)/10)))))</f>
        <v>0.4143</v>
      </c>
      <c r="L39" s="285">
        <f>ROUND(+(D34+D39)/2*(C39-C34),3)</f>
        <v>0.89500000000000002</v>
      </c>
      <c r="M39" s="285">
        <f>ROUND(+K39*L39,4)</f>
        <v>0.37080000000000002</v>
      </c>
      <c r="N39" s="288">
        <f>ROUND(+M39/$M$93*100,2)</f>
        <v>13.41</v>
      </c>
      <c r="O39" s="289"/>
      <c r="P39" s="290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spans="1:26" s="142" customFormat="1" ht="13.5" customHeight="1" x14ac:dyDescent="0.25">
      <c r="A40" s="132"/>
      <c r="B40" s="306"/>
      <c r="C40" s="286"/>
      <c r="D40" s="286"/>
      <c r="E40" s="286"/>
      <c r="F40" s="148" t="s">
        <v>76</v>
      </c>
      <c r="G40" s="149">
        <f>IF(E39&lt;0.125,"NA",IF(0.125&lt;=E39,(0.2*E39)))</f>
        <v>0.1678</v>
      </c>
      <c r="H40" s="150"/>
      <c r="I40" s="151"/>
      <c r="J40" s="152">
        <v>0.39</v>
      </c>
      <c r="K40" s="286"/>
      <c r="L40" s="286"/>
      <c r="M40" s="286"/>
      <c r="N40" s="286"/>
      <c r="O40" s="286"/>
      <c r="P40" s="291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spans="1:26" s="142" customFormat="1" ht="13.5" customHeight="1" x14ac:dyDescent="0.25">
      <c r="A41" s="132"/>
      <c r="B41" s="306"/>
      <c r="C41" s="286"/>
      <c r="D41" s="286"/>
      <c r="E41" s="286"/>
      <c r="F41" s="148" t="s">
        <v>77</v>
      </c>
      <c r="G41" s="149">
        <f>+E39*0.4</f>
        <v>0.33560000000000001</v>
      </c>
      <c r="H41" s="150"/>
      <c r="I41" s="151"/>
      <c r="J41" s="152">
        <v>0.441</v>
      </c>
      <c r="K41" s="286"/>
      <c r="L41" s="286"/>
      <c r="M41" s="286"/>
      <c r="N41" s="286"/>
      <c r="O41" s="286"/>
      <c r="P41" s="291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spans="1:26" s="142" customFormat="1" ht="13.5" customHeight="1" x14ac:dyDescent="0.25">
      <c r="A42" s="132"/>
      <c r="B42" s="306"/>
      <c r="C42" s="286"/>
      <c r="D42" s="286"/>
      <c r="E42" s="286"/>
      <c r="F42" s="148" t="s">
        <v>78</v>
      </c>
      <c r="G42" s="149">
        <f>IF(E39&lt;0.125,"NA",IF(0.125&lt;=E39,(0.8*E39)))</f>
        <v>0.67120000000000002</v>
      </c>
      <c r="H42" s="150"/>
      <c r="I42" s="151"/>
      <c r="J42" s="152">
        <v>0.47299999999999998</v>
      </c>
      <c r="K42" s="286"/>
      <c r="L42" s="286"/>
      <c r="M42" s="286"/>
      <c r="N42" s="286"/>
      <c r="O42" s="286"/>
      <c r="P42" s="291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spans="1:26" s="142" customFormat="1" ht="13.5" customHeight="1" thickBot="1" x14ac:dyDescent="0.3">
      <c r="A43" s="132"/>
      <c r="B43" s="307"/>
      <c r="C43" s="287"/>
      <c r="D43" s="287"/>
      <c r="E43" s="287"/>
      <c r="F43" s="153" t="s">
        <v>79</v>
      </c>
      <c r="G43" s="154">
        <f>+E39</f>
        <v>0.83899999999999997</v>
      </c>
      <c r="H43" s="155"/>
      <c r="I43" s="156"/>
      <c r="J43" s="157">
        <v>0.46600000000000003</v>
      </c>
      <c r="K43" s="287"/>
      <c r="L43" s="287"/>
      <c r="M43" s="287"/>
      <c r="N43" s="287"/>
      <c r="O43" s="287"/>
      <c r="P43" s="29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spans="1:26" s="142" customFormat="1" ht="13.5" customHeight="1" x14ac:dyDescent="0.25">
      <c r="A44" s="132"/>
      <c r="B44" s="305">
        <v>6</v>
      </c>
      <c r="C44" s="308">
        <f>+C39+$N$12</f>
        <v>7.7500000000000009</v>
      </c>
      <c r="D44" s="285">
        <v>0.86199999999999999</v>
      </c>
      <c r="E44" s="285">
        <v>0.84499999999999997</v>
      </c>
      <c r="F44" s="143" t="s">
        <v>75</v>
      </c>
      <c r="G44" s="144">
        <v>0</v>
      </c>
      <c r="H44" s="145"/>
      <c r="I44" s="146"/>
      <c r="J44" s="147">
        <v>0.18</v>
      </c>
      <c r="K44" s="285">
        <f>+IF(E44&lt;=0.12,(J46),(IF(E44&lt;0.16,((J45+2*J46+J47)/4),IF(E44&gt;=0.16,((J44+3*J45+2*J46+3*J47+J48)/10)))))</f>
        <v>0.44460000000000005</v>
      </c>
      <c r="L44" s="285">
        <f>ROUND(+(D39+D44)/2*(C44-C39),3)</f>
        <v>0.998</v>
      </c>
      <c r="M44" s="285">
        <f>ROUND(+K44*L44,4)</f>
        <v>0.44369999999999998</v>
      </c>
      <c r="N44" s="288">
        <f>ROUND(+M44/$M$93*100,2)</f>
        <v>16.04</v>
      </c>
      <c r="O44" s="289"/>
      <c r="P44" s="290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spans="1:26" s="142" customFormat="1" ht="13.5" customHeight="1" x14ac:dyDescent="0.25">
      <c r="A45" s="132"/>
      <c r="B45" s="306"/>
      <c r="C45" s="286"/>
      <c r="D45" s="286"/>
      <c r="E45" s="286"/>
      <c r="F45" s="148" t="s">
        <v>76</v>
      </c>
      <c r="G45" s="149">
        <f>IF(E44&lt;0.125,"NA",IF(0.125&lt;=E44,(0.2*E44)))</f>
        <v>0.16900000000000001</v>
      </c>
      <c r="H45" s="150"/>
      <c r="I45" s="151"/>
      <c r="J45" s="152">
        <v>0.432</v>
      </c>
      <c r="K45" s="286"/>
      <c r="L45" s="286"/>
      <c r="M45" s="286"/>
      <c r="N45" s="286"/>
      <c r="O45" s="286"/>
      <c r="P45" s="291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spans="1:26" s="142" customFormat="1" ht="13.5" customHeight="1" x14ac:dyDescent="0.25">
      <c r="A46" s="132"/>
      <c r="B46" s="306"/>
      <c r="C46" s="286"/>
      <c r="D46" s="286"/>
      <c r="E46" s="286"/>
      <c r="F46" s="148" t="s">
        <v>77</v>
      </c>
      <c r="G46" s="149">
        <f>+E44*0.4</f>
        <v>0.33800000000000002</v>
      </c>
      <c r="H46" s="150"/>
      <c r="I46" s="151"/>
      <c r="J46" s="152">
        <v>0.42699999999999999</v>
      </c>
      <c r="K46" s="286"/>
      <c r="L46" s="286"/>
      <c r="M46" s="286"/>
      <c r="N46" s="286"/>
      <c r="O46" s="286"/>
      <c r="P46" s="291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spans="1:26" s="142" customFormat="1" ht="13.5" customHeight="1" x14ac:dyDescent="0.25">
      <c r="A47" s="132"/>
      <c r="B47" s="306"/>
      <c r="C47" s="286"/>
      <c r="D47" s="286"/>
      <c r="E47" s="286"/>
      <c r="F47" s="148" t="s">
        <v>78</v>
      </c>
      <c r="G47" s="149">
        <f>IF(E44&lt;0.125,"NA",IF(0.125&lt;=E44,(0.8*E44)))</f>
        <v>0.67600000000000005</v>
      </c>
      <c r="H47" s="150"/>
      <c r="I47" s="151"/>
      <c r="J47" s="152">
        <v>0.53300000000000003</v>
      </c>
      <c r="K47" s="286"/>
      <c r="L47" s="286"/>
      <c r="M47" s="286"/>
      <c r="N47" s="286"/>
      <c r="O47" s="286"/>
      <c r="P47" s="291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spans="1:26" s="142" customFormat="1" ht="13.5" customHeight="1" thickBot="1" x14ac:dyDescent="0.3">
      <c r="A48" s="132"/>
      <c r="B48" s="307"/>
      <c r="C48" s="287"/>
      <c r="D48" s="287"/>
      <c r="E48" s="287"/>
      <c r="F48" s="153" t="s">
        <v>79</v>
      </c>
      <c r="G48" s="154">
        <f>+E44</f>
        <v>0.84499999999999997</v>
      </c>
      <c r="H48" s="155"/>
      <c r="I48" s="156"/>
      <c r="J48" s="157">
        <v>0.51700000000000002</v>
      </c>
      <c r="K48" s="287"/>
      <c r="L48" s="287"/>
      <c r="M48" s="287"/>
      <c r="N48" s="287"/>
      <c r="O48" s="287"/>
      <c r="P48" s="29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spans="1:26" s="142" customFormat="1" ht="13.5" customHeight="1" x14ac:dyDescent="0.25">
      <c r="A49" s="132"/>
      <c r="B49" s="305">
        <v>7</v>
      </c>
      <c r="C49" s="308">
        <f>+C44+$N$12</f>
        <v>8.9500000000000011</v>
      </c>
      <c r="D49" s="285">
        <v>0.73</v>
      </c>
      <c r="E49" s="285">
        <v>0.86199999999999999</v>
      </c>
      <c r="F49" s="143" t="s">
        <v>75</v>
      </c>
      <c r="G49" s="144">
        <v>0</v>
      </c>
      <c r="H49" s="145"/>
      <c r="I49" s="146"/>
      <c r="J49" s="147"/>
      <c r="K49" s="285"/>
      <c r="L49" s="285"/>
      <c r="M49" s="285"/>
      <c r="N49" s="288"/>
      <c r="O49" s="289"/>
      <c r="P49" s="290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spans="1:26" s="142" customFormat="1" ht="13.5" customHeight="1" x14ac:dyDescent="0.25">
      <c r="A50" s="132"/>
      <c r="B50" s="306"/>
      <c r="C50" s="286"/>
      <c r="D50" s="286"/>
      <c r="E50" s="286"/>
      <c r="F50" s="148" t="s">
        <v>76</v>
      </c>
      <c r="G50" s="149">
        <f>IF(E49&lt;0.125,"NA",IF(0.125&lt;=E49,(0.2*E49)))</f>
        <v>0.1724</v>
      </c>
      <c r="H50" s="150"/>
      <c r="I50" s="151"/>
      <c r="J50" s="152"/>
      <c r="K50" s="286"/>
      <c r="L50" s="286"/>
      <c r="M50" s="286"/>
      <c r="N50" s="286"/>
      <c r="O50" s="286"/>
      <c r="P50" s="291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spans="1:26" s="142" customFormat="1" ht="13.5" customHeight="1" x14ac:dyDescent="0.25">
      <c r="A51" s="132"/>
      <c r="B51" s="306"/>
      <c r="C51" s="286"/>
      <c r="D51" s="286"/>
      <c r="E51" s="286"/>
      <c r="F51" s="148" t="s">
        <v>77</v>
      </c>
      <c r="G51" s="149">
        <f>+E49*0.4</f>
        <v>0.3448</v>
      </c>
      <c r="H51" s="150"/>
      <c r="I51" s="151"/>
      <c r="J51" s="152"/>
      <c r="K51" s="286"/>
      <c r="L51" s="286"/>
      <c r="M51" s="286"/>
      <c r="N51" s="286"/>
      <c r="O51" s="286"/>
      <c r="P51" s="291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spans="1:26" s="142" customFormat="1" ht="13.5" customHeight="1" x14ac:dyDescent="0.25">
      <c r="A52" s="132"/>
      <c r="B52" s="306"/>
      <c r="C52" s="286"/>
      <c r="D52" s="286"/>
      <c r="E52" s="286"/>
      <c r="F52" s="148" t="s">
        <v>78</v>
      </c>
      <c r="G52" s="149">
        <f>IF(E49&lt;0.125,"NA",IF(0.125&lt;=E49,(0.8*E49)))</f>
        <v>0.68959999999999999</v>
      </c>
      <c r="H52" s="150"/>
      <c r="I52" s="151"/>
      <c r="J52" s="152"/>
      <c r="K52" s="286"/>
      <c r="L52" s="286"/>
      <c r="M52" s="286"/>
      <c r="N52" s="286"/>
      <c r="O52" s="286"/>
      <c r="P52" s="291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s="142" customFormat="1" ht="13.5" customHeight="1" thickBot="1" x14ac:dyDescent="0.3">
      <c r="A53" s="132"/>
      <c r="B53" s="307"/>
      <c r="C53" s="287"/>
      <c r="D53" s="287"/>
      <c r="E53" s="287"/>
      <c r="F53" s="153" t="s">
        <v>79</v>
      </c>
      <c r="G53" s="154">
        <f>+E49</f>
        <v>0.86199999999999999</v>
      </c>
      <c r="H53" s="155"/>
      <c r="I53" s="156"/>
      <c r="J53" s="157"/>
      <c r="K53" s="287"/>
      <c r="L53" s="287"/>
      <c r="M53" s="287"/>
      <c r="N53" s="287"/>
      <c r="O53" s="287"/>
      <c r="P53" s="29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spans="1:26" s="142" customFormat="1" ht="13.5" customHeight="1" x14ac:dyDescent="0.25">
      <c r="A54" s="132"/>
      <c r="B54" s="305">
        <v>8</v>
      </c>
      <c r="C54" s="308">
        <f>+C49+$N$12</f>
        <v>10.15</v>
      </c>
      <c r="D54" s="285">
        <v>0.49199999999999999</v>
      </c>
      <c r="E54" s="285">
        <v>0.497</v>
      </c>
      <c r="F54" s="143" t="s">
        <v>75</v>
      </c>
      <c r="G54" s="144">
        <v>0</v>
      </c>
      <c r="H54" s="145"/>
      <c r="I54" s="146"/>
      <c r="J54" s="147">
        <v>0.52</v>
      </c>
      <c r="K54" s="285">
        <f>+IF(E54&lt;=0.12,(J56),(IF(E54&lt;0.16,((J55+2*J56+J57)/4),IF(E54&gt;=0.16,((J54+3*J55+2*J56+3*J57+J58)/10)))))</f>
        <v>0.57139999999999991</v>
      </c>
      <c r="L54" s="285">
        <f>ROUND(+(D49+D54)/2*(C54-C49),3)</f>
        <v>0.73299999999999998</v>
      </c>
      <c r="M54" s="285">
        <f>ROUND(+K54*L54,4)</f>
        <v>0.41880000000000001</v>
      </c>
      <c r="N54" s="288">
        <f>ROUND(+M54/$M$93*100,2)</f>
        <v>15.14</v>
      </c>
      <c r="O54" s="289"/>
      <c r="P54" s="290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spans="1:26" s="142" customFormat="1" ht="13.5" customHeight="1" x14ac:dyDescent="0.25">
      <c r="A55" s="132"/>
      <c r="B55" s="306"/>
      <c r="C55" s="286"/>
      <c r="D55" s="286"/>
      <c r="E55" s="286"/>
      <c r="F55" s="148" t="s">
        <v>76</v>
      </c>
      <c r="G55" s="149">
        <f>IF(E54&lt;0.125,"NA",IF(0.125&lt;=E54,(0.2*E54)))</f>
        <v>9.9400000000000002E-2</v>
      </c>
      <c r="H55" s="150"/>
      <c r="I55" s="151"/>
      <c r="J55" s="152">
        <v>0.47099999999999997</v>
      </c>
      <c r="K55" s="286"/>
      <c r="L55" s="286"/>
      <c r="M55" s="286"/>
      <c r="N55" s="286"/>
      <c r="O55" s="286"/>
      <c r="P55" s="291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spans="1:26" s="142" customFormat="1" ht="13.5" customHeight="1" x14ac:dyDescent="0.25">
      <c r="A56" s="132"/>
      <c r="B56" s="306"/>
      <c r="C56" s="286"/>
      <c r="D56" s="286"/>
      <c r="E56" s="286"/>
      <c r="F56" s="148" t="s">
        <v>77</v>
      </c>
      <c r="G56" s="149">
        <f>+E54*0.4</f>
        <v>0.1988</v>
      </c>
      <c r="H56" s="150"/>
      <c r="I56" s="151"/>
      <c r="J56" s="152">
        <v>0.57799999999999996</v>
      </c>
      <c r="K56" s="286"/>
      <c r="L56" s="286"/>
      <c r="M56" s="286"/>
      <c r="N56" s="286"/>
      <c r="O56" s="286"/>
      <c r="P56" s="291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spans="1:26" s="142" customFormat="1" ht="13.5" customHeight="1" x14ac:dyDescent="0.25">
      <c r="A57" s="132"/>
      <c r="B57" s="306"/>
      <c r="C57" s="286"/>
      <c r="D57" s="286"/>
      <c r="E57" s="286"/>
      <c r="F57" s="148" t="s">
        <v>78</v>
      </c>
      <c r="G57" s="149">
        <f>IF(E54&lt;0.125,"NA",IF(0.125&lt;=E54,(0.8*E54)))</f>
        <v>0.39760000000000001</v>
      </c>
      <c r="H57" s="150"/>
      <c r="I57" s="151"/>
      <c r="J57" s="152">
        <v>0.66600000000000004</v>
      </c>
      <c r="K57" s="286"/>
      <c r="L57" s="286"/>
      <c r="M57" s="286"/>
      <c r="N57" s="286"/>
      <c r="O57" s="286"/>
      <c r="P57" s="291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spans="1:26" s="142" customFormat="1" ht="13.5" customHeight="1" thickBot="1" x14ac:dyDescent="0.3">
      <c r="A58" s="132"/>
      <c r="B58" s="307"/>
      <c r="C58" s="287"/>
      <c r="D58" s="287"/>
      <c r="E58" s="287"/>
      <c r="F58" s="153" t="s">
        <v>79</v>
      </c>
      <c r="G58" s="154">
        <f>+E54</f>
        <v>0.497</v>
      </c>
      <c r="H58" s="155"/>
      <c r="I58" s="156"/>
      <c r="J58" s="157">
        <v>0.627</v>
      </c>
      <c r="K58" s="287"/>
      <c r="L58" s="287"/>
      <c r="M58" s="287"/>
      <c r="N58" s="287"/>
      <c r="O58" s="287"/>
      <c r="P58" s="29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spans="1:26" s="142" customFormat="1" ht="13.5" customHeight="1" x14ac:dyDescent="0.25">
      <c r="A59" s="132"/>
      <c r="B59" s="305">
        <v>9</v>
      </c>
      <c r="C59" s="308">
        <f>+C54+$N$12</f>
        <v>11.35</v>
      </c>
      <c r="D59" s="285">
        <v>0.23799999999999999</v>
      </c>
      <c r="E59" s="285">
        <v>0.32700000000000001</v>
      </c>
      <c r="F59" s="143" t="s">
        <v>75</v>
      </c>
      <c r="G59" s="144">
        <v>0</v>
      </c>
      <c r="H59" s="145"/>
      <c r="I59" s="146"/>
      <c r="J59" s="147">
        <v>0.51469999999999994</v>
      </c>
      <c r="K59" s="285">
        <f>+IF(E59&lt;=0.12,(J61),(IF(E59&lt;0.16,((J60+2*J61+J62)/4),IF(E59&gt;=0.16,((J59+3*J60+2*J61+3*J62+J63)/10)))))</f>
        <v>0.61148999999999998</v>
      </c>
      <c r="L59" s="285">
        <f>ROUND(+(D54+D59)/2*(C59-C54),3)</f>
        <v>0.438</v>
      </c>
      <c r="M59" s="285">
        <f>ROUND(+K59*L59,4)</f>
        <v>0.26779999999999998</v>
      </c>
      <c r="N59" s="288">
        <f>ROUND(+M59/$M$93*100,2)</f>
        <v>9.68</v>
      </c>
      <c r="O59" s="289"/>
      <c r="P59" s="290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spans="1:26" s="142" customFormat="1" ht="13.5" customHeight="1" x14ac:dyDescent="0.25">
      <c r="A60" s="132"/>
      <c r="B60" s="306"/>
      <c r="C60" s="286"/>
      <c r="D60" s="286"/>
      <c r="E60" s="286"/>
      <c r="F60" s="148" t="s">
        <v>76</v>
      </c>
      <c r="G60" s="149">
        <f>IF(E59&lt;0.125,"NA",IF(0.125&lt;=E59,(0.2*E59)))</f>
        <v>6.54E-2</v>
      </c>
      <c r="H60" s="150"/>
      <c r="I60" s="151"/>
      <c r="J60" s="152">
        <v>0.52949999999999997</v>
      </c>
      <c r="K60" s="286"/>
      <c r="L60" s="286"/>
      <c r="M60" s="286"/>
      <c r="N60" s="286"/>
      <c r="O60" s="286"/>
      <c r="P60" s="291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spans="1:26" s="142" customFormat="1" ht="13.5" customHeight="1" x14ac:dyDescent="0.25">
      <c r="A61" s="132"/>
      <c r="B61" s="306"/>
      <c r="C61" s="286"/>
      <c r="D61" s="286"/>
      <c r="E61" s="286"/>
      <c r="F61" s="148" t="s">
        <v>77</v>
      </c>
      <c r="G61" s="149">
        <f>+E59*0.4</f>
        <v>0.1308</v>
      </c>
      <c r="H61" s="150"/>
      <c r="I61" s="151"/>
      <c r="J61" s="152">
        <v>0.57579999999999998</v>
      </c>
      <c r="K61" s="286"/>
      <c r="L61" s="286"/>
      <c r="M61" s="286"/>
      <c r="N61" s="286"/>
      <c r="O61" s="286"/>
      <c r="P61" s="291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spans="1:26" s="142" customFormat="1" ht="13.5" customHeight="1" x14ac:dyDescent="0.25">
      <c r="A62" s="132"/>
      <c r="B62" s="306"/>
      <c r="C62" s="286"/>
      <c r="D62" s="286"/>
      <c r="E62" s="286"/>
      <c r="F62" s="148" t="s">
        <v>78</v>
      </c>
      <c r="G62" s="149">
        <f>IF(E59&lt;0.125,"NA",IF(0.125&lt;=E59,(0.8*E59)))</f>
        <v>0.2616</v>
      </c>
      <c r="H62" s="150"/>
      <c r="I62" s="151"/>
      <c r="J62" s="152">
        <v>0.71930000000000005</v>
      </c>
      <c r="K62" s="286"/>
      <c r="L62" s="286"/>
      <c r="M62" s="286"/>
      <c r="N62" s="286"/>
      <c r="O62" s="286"/>
      <c r="P62" s="291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spans="1:26" s="142" customFormat="1" ht="13.5" customHeight="1" thickBot="1" x14ac:dyDescent="0.3">
      <c r="A63" s="132"/>
      <c r="B63" s="307"/>
      <c r="C63" s="287"/>
      <c r="D63" s="287"/>
      <c r="E63" s="287"/>
      <c r="F63" s="153" t="s">
        <v>79</v>
      </c>
      <c r="G63" s="154">
        <f>+E59</f>
        <v>0.32700000000000001</v>
      </c>
      <c r="H63" s="155"/>
      <c r="I63" s="156"/>
      <c r="J63" s="157">
        <v>0.70220000000000005</v>
      </c>
      <c r="K63" s="287"/>
      <c r="L63" s="287"/>
      <c r="M63" s="287"/>
      <c r="N63" s="287"/>
      <c r="O63" s="287"/>
      <c r="P63" s="29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spans="1:26" s="142" customFormat="1" ht="13.5" customHeight="1" x14ac:dyDescent="0.25">
      <c r="A64" s="132"/>
      <c r="B64" s="305">
        <v>10</v>
      </c>
      <c r="C64" s="308">
        <f>+C59+$N$12</f>
        <v>12.549999999999999</v>
      </c>
      <c r="D64" s="285">
        <v>0.17299999999999999</v>
      </c>
      <c r="E64" s="285">
        <v>0.24099999999999999</v>
      </c>
      <c r="F64" s="143" t="s">
        <v>75</v>
      </c>
      <c r="G64" s="144">
        <v>0</v>
      </c>
      <c r="H64" s="145"/>
      <c r="I64" s="146"/>
      <c r="J64" s="147">
        <v>0.51070000000000004</v>
      </c>
      <c r="K64" s="285">
        <f>+IF(E64&lt;=0.12,(J66),(IF(E64&lt;0.16,((J65+2*J66+J67)/4),IF(E64&gt;=0.16,((J64+3*J65+2*J66+3*J67+J68)/10)))))</f>
        <v>0.58258999999999994</v>
      </c>
      <c r="L64" s="285">
        <f>ROUND(+(D59+D64)/2*(C64-C59),3)</f>
        <v>0.247</v>
      </c>
      <c r="M64" s="285">
        <f>ROUND(+K64*L64,4)</f>
        <v>0.1439</v>
      </c>
      <c r="N64" s="288">
        <f>ROUND(+M64/$M$93*100,2)</f>
        <v>5.2</v>
      </c>
      <c r="O64" s="289"/>
      <c r="P64" s="290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spans="1:26" s="142" customFormat="1" ht="13.5" customHeight="1" x14ac:dyDescent="0.25">
      <c r="A65" s="132"/>
      <c r="B65" s="306"/>
      <c r="C65" s="286"/>
      <c r="D65" s="286"/>
      <c r="E65" s="286"/>
      <c r="F65" s="148" t="s">
        <v>76</v>
      </c>
      <c r="G65" s="149">
        <f>IF(E64&lt;0.125,"NA",IF(0.125&lt;=E64,(0.2*E64)))</f>
        <v>4.82E-2</v>
      </c>
      <c r="H65" s="150"/>
      <c r="I65" s="151"/>
      <c r="J65" s="152">
        <v>0.505</v>
      </c>
      <c r="K65" s="286"/>
      <c r="L65" s="286"/>
      <c r="M65" s="286"/>
      <c r="N65" s="286"/>
      <c r="O65" s="286"/>
      <c r="P65" s="291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spans="1:26" s="142" customFormat="1" ht="13.5" customHeight="1" x14ac:dyDescent="0.25">
      <c r="A66" s="132"/>
      <c r="B66" s="306"/>
      <c r="C66" s="286"/>
      <c r="D66" s="286"/>
      <c r="E66" s="286"/>
      <c r="F66" s="148" t="s">
        <v>77</v>
      </c>
      <c r="G66" s="149">
        <f>+E64*0.4</f>
        <v>9.64E-2</v>
      </c>
      <c r="H66" s="150"/>
      <c r="I66" s="151"/>
      <c r="J66" s="152">
        <v>0.5867</v>
      </c>
      <c r="K66" s="286"/>
      <c r="L66" s="286"/>
      <c r="M66" s="286"/>
      <c r="N66" s="286"/>
      <c r="O66" s="286"/>
      <c r="P66" s="291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spans="1:26" s="142" customFormat="1" ht="13.5" customHeight="1" x14ac:dyDescent="0.25">
      <c r="A67" s="132"/>
      <c r="B67" s="306"/>
      <c r="C67" s="286"/>
      <c r="D67" s="286"/>
      <c r="E67" s="286"/>
      <c r="F67" s="148" t="s">
        <v>78</v>
      </c>
      <c r="G67" s="149">
        <f>IF(E64&lt;0.125,"NA",IF(0.125&lt;=E64,(0.8*E64)))</f>
        <v>0.1928</v>
      </c>
      <c r="H67" s="150"/>
      <c r="I67" s="151"/>
      <c r="J67" s="152">
        <v>0.67710000000000004</v>
      </c>
      <c r="K67" s="286"/>
      <c r="L67" s="286"/>
      <c r="M67" s="286"/>
      <c r="N67" s="286"/>
      <c r="O67" s="286"/>
      <c r="P67" s="291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spans="1:26" s="142" customFormat="1" ht="13.5" customHeight="1" thickBot="1" x14ac:dyDescent="0.3">
      <c r="A68" s="132"/>
      <c r="B68" s="307"/>
      <c r="C68" s="287"/>
      <c r="D68" s="287"/>
      <c r="E68" s="287"/>
      <c r="F68" s="153" t="s">
        <v>79</v>
      </c>
      <c r="G68" s="154">
        <f>+E64</f>
        <v>0.24099999999999999</v>
      </c>
      <c r="H68" s="155"/>
      <c r="I68" s="156"/>
      <c r="J68" s="157">
        <v>0.59550000000000003</v>
      </c>
      <c r="K68" s="287"/>
      <c r="L68" s="287"/>
      <c r="M68" s="287"/>
      <c r="N68" s="287"/>
      <c r="O68" s="287"/>
      <c r="P68" s="29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spans="1:26" s="142" customFormat="1" ht="13.5" customHeight="1" x14ac:dyDescent="0.25">
      <c r="A69" s="132"/>
      <c r="B69" s="305">
        <v>11</v>
      </c>
      <c r="C69" s="308">
        <f>+C64+1.3</f>
        <v>13.85</v>
      </c>
      <c r="D69" s="285">
        <v>4.9000000000000002E-2</v>
      </c>
      <c r="E69" s="285">
        <v>7.5999999999999998E-2</v>
      </c>
      <c r="F69" s="143" t="s">
        <v>75</v>
      </c>
      <c r="G69" s="144">
        <v>0</v>
      </c>
      <c r="H69" s="145"/>
      <c r="I69" s="146"/>
      <c r="J69" s="147">
        <v>0.22600000000000001</v>
      </c>
      <c r="K69" s="285">
        <f>+IF(E69&lt;=0.12,(J71),(IF(E69&lt;0.16,((J70+2*J71+J72)/4),IF(E69&gt;=0.16,((J69+3*J70+2*J71+3*J72+J73)/10)))))</f>
        <v>0.315</v>
      </c>
      <c r="L69" s="285">
        <f>ROUND(+(D64+D69)/2*(C69-C64),3)</f>
        <v>0.14399999999999999</v>
      </c>
      <c r="M69" s="285">
        <f>ROUND(+K69*L69,4)</f>
        <v>4.5400000000000003E-2</v>
      </c>
      <c r="N69" s="288">
        <f>ROUND(+M69/$M$93*100,2)</f>
        <v>1.64</v>
      </c>
      <c r="O69" s="289"/>
      <c r="P69" s="290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spans="1:26" s="142" customFormat="1" ht="13.5" customHeight="1" x14ac:dyDescent="0.25">
      <c r="A70" s="132"/>
      <c r="B70" s="306"/>
      <c r="C70" s="286"/>
      <c r="D70" s="286"/>
      <c r="E70" s="286"/>
      <c r="F70" s="148" t="s">
        <v>76</v>
      </c>
      <c r="G70" s="149" t="str">
        <f>IF(E69&lt;0.125,"NA",IF(0.125&lt;=E69,(0.2*E69)))</f>
        <v>NA</v>
      </c>
      <c r="H70" s="150"/>
      <c r="I70" s="151"/>
      <c r="J70" s="152"/>
      <c r="K70" s="286"/>
      <c r="L70" s="286"/>
      <c r="M70" s="286"/>
      <c r="N70" s="286"/>
      <c r="O70" s="286"/>
      <c r="P70" s="291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spans="1:26" s="142" customFormat="1" ht="13.5" customHeight="1" x14ac:dyDescent="0.25">
      <c r="A71" s="132"/>
      <c r="B71" s="306"/>
      <c r="C71" s="286"/>
      <c r="D71" s="286"/>
      <c r="E71" s="286"/>
      <c r="F71" s="148" t="s">
        <v>77</v>
      </c>
      <c r="G71" s="149">
        <f>+E69*0.4</f>
        <v>3.04E-2</v>
      </c>
      <c r="H71" s="150"/>
      <c r="I71" s="151"/>
      <c r="J71" s="152">
        <v>0.315</v>
      </c>
      <c r="K71" s="286"/>
      <c r="L71" s="286"/>
      <c r="M71" s="286"/>
      <c r="N71" s="286"/>
      <c r="O71" s="286"/>
      <c r="P71" s="291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spans="1:26" s="142" customFormat="1" ht="13.5" customHeight="1" x14ac:dyDescent="0.25">
      <c r="A72" s="132"/>
      <c r="B72" s="306"/>
      <c r="C72" s="286"/>
      <c r="D72" s="286"/>
      <c r="E72" s="286"/>
      <c r="F72" s="148" t="s">
        <v>78</v>
      </c>
      <c r="G72" s="149" t="str">
        <f>IF(E69&lt;0.125,"NA",IF(0.125&lt;=E69,(0.8*E69)))</f>
        <v>NA</v>
      </c>
      <c r="H72" s="150"/>
      <c r="I72" s="151"/>
      <c r="J72" s="152"/>
      <c r="K72" s="286"/>
      <c r="L72" s="286"/>
      <c r="M72" s="286"/>
      <c r="N72" s="286"/>
      <c r="O72" s="286"/>
      <c r="P72" s="291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spans="1:26" s="142" customFormat="1" ht="13.5" customHeight="1" thickBot="1" x14ac:dyDescent="0.3">
      <c r="A73" s="132"/>
      <c r="B73" s="307"/>
      <c r="C73" s="287"/>
      <c r="D73" s="287"/>
      <c r="E73" s="287"/>
      <c r="F73" s="153" t="s">
        <v>79</v>
      </c>
      <c r="G73" s="154">
        <f>+E69</f>
        <v>7.5999999999999998E-2</v>
      </c>
      <c r="H73" s="155"/>
      <c r="I73" s="156"/>
      <c r="J73" s="157">
        <v>0.309</v>
      </c>
      <c r="K73" s="287"/>
      <c r="L73" s="287"/>
      <c r="M73" s="287"/>
      <c r="N73" s="287"/>
      <c r="O73" s="287"/>
      <c r="P73" s="29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spans="1:26" s="158" customFormat="1" ht="13.5" customHeight="1" x14ac:dyDescent="0.2">
      <c r="B74" s="293" t="s">
        <v>28</v>
      </c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8"/>
    </row>
    <row r="75" spans="1:26" s="158" customFormat="1" ht="14.1" customHeight="1" x14ac:dyDescent="0.2">
      <c r="B75" s="294"/>
      <c r="C75" s="299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</row>
    <row r="76" spans="1:26" s="158" customFormat="1" ht="14.1" customHeight="1" x14ac:dyDescent="0.2">
      <c r="B76" s="294"/>
      <c r="C76" s="299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1"/>
    </row>
    <row r="77" spans="1:26" s="158" customFormat="1" ht="14.1" customHeight="1" x14ac:dyDescent="0.2">
      <c r="B77" s="294"/>
      <c r="C77" s="299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</row>
    <row r="78" spans="1:26" s="158" customFormat="1" ht="14.1" customHeight="1" x14ac:dyDescent="0.2">
      <c r="B78" s="294"/>
      <c r="C78" s="299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1"/>
    </row>
    <row r="79" spans="1:26" s="158" customFormat="1" ht="14.1" customHeight="1" thickBot="1" x14ac:dyDescent="0.25">
      <c r="B79" s="295"/>
      <c r="C79" s="302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304"/>
    </row>
    <row r="80" spans="1:26" s="158" customFormat="1" ht="28.5" customHeight="1" thickBot="1" x14ac:dyDescent="0.25">
      <c r="A80" s="159"/>
      <c r="B80" s="160" t="s">
        <v>80</v>
      </c>
      <c r="C80" s="272" t="s">
        <v>131</v>
      </c>
      <c r="D80" s="272"/>
      <c r="E80" s="272"/>
      <c r="F80" s="272"/>
      <c r="G80" s="272"/>
      <c r="H80" s="273"/>
      <c r="I80" s="274"/>
      <c r="J80" s="160" t="s">
        <v>82</v>
      </c>
      <c r="K80" s="272" t="s">
        <v>83</v>
      </c>
      <c r="L80" s="272"/>
      <c r="M80" s="272"/>
      <c r="N80" s="272"/>
      <c r="O80" s="272"/>
      <c r="P80" s="273"/>
    </row>
    <row r="81" spans="1:26" s="158" customFormat="1" ht="28.5" customHeight="1" thickBot="1" x14ac:dyDescent="0.25">
      <c r="B81" s="161" t="s">
        <v>84</v>
      </c>
      <c r="C81" s="276" t="s">
        <v>85</v>
      </c>
      <c r="D81" s="276"/>
      <c r="E81" s="276"/>
      <c r="F81" s="276"/>
      <c r="G81" s="276"/>
      <c r="H81" s="277"/>
      <c r="I81" s="275"/>
      <c r="J81" s="161" t="s">
        <v>86</v>
      </c>
      <c r="K81" s="276" t="s">
        <v>87</v>
      </c>
      <c r="L81" s="276"/>
      <c r="M81" s="276"/>
      <c r="N81" s="276"/>
      <c r="O81" s="276"/>
      <c r="P81" s="277"/>
    </row>
    <row r="82" spans="1:26" ht="13.5" customHeight="1" x14ac:dyDescent="0.25">
      <c r="A82" s="162"/>
      <c r="B82" s="278">
        <v>7</v>
      </c>
      <c r="C82" s="281">
        <f t="shared" ref="C82:D82" si="0">+C44</f>
        <v>7.7500000000000009</v>
      </c>
      <c r="D82" s="283">
        <f t="shared" si="0"/>
        <v>0.86199999999999999</v>
      </c>
      <c r="E82" s="283">
        <f>+E49</f>
        <v>0.86199999999999999</v>
      </c>
      <c r="F82" s="163" t="s">
        <v>75</v>
      </c>
      <c r="G82" s="163">
        <v>0.01</v>
      </c>
      <c r="H82" s="164"/>
      <c r="I82" s="165"/>
      <c r="J82" s="166">
        <v>0.437</v>
      </c>
      <c r="K82" s="284">
        <f>+AVERAGE(J82:J92)</f>
        <v>0.56745454545454543</v>
      </c>
      <c r="L82" s="263">
        <f>ROUND(+(D82+D87)/2*(C87-C82),3)</f>
        <v>0.95499999999999996</v>
      </c>
      <c r="M82" s="266">
        <f>ROUND(+K82*L82,4)</f>
        <v>0.54190000000000005</v>
      </c>
      <c r="N82" s="263">
        <f>ROUND(+M82/$M$93*100,2)</f>
        <v>19.600000000000001</v>
      </c>
      <c r="O82" s="263"/>
      <c r="P82" s="2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</row>
    <row r="83" spans="1:26" ht="13.5" customHeight="1" x14ac:dyDescent="0.25">
      <c r="A83" s="162"/>
      <c r="B83" s="279"/>
      <c r="C83" s="264"/>
      <c r="D83" s="264"/>
      <c r="E83" s="264"/>
      <c r="F83" s="168" t="s">
        <v>88</v>
      </c>
      <c r="G83" s="169">
        <f>+E82*0.1</f>
        <v>8.6199999999999999E-2</v>
      </c>
      <c r="H83" s="170"/>
      <c r="I83" s="171"/>
      <c r="J83" s="172">
        <v>0.46500000000000002</v>
      </c>
      <c r="K83" s="264"/>
      <c r="L83" s="264"/>
      <c r="M83" s="264"/>
      <c r="N83" s="264"/>
      <c r="O83" s="264"/>
      <c r="P83" s="268"/>
      <c r="Q83" s="167"/>
      <c r="R83" s="167"/>
      <c r="S83" s="167"/>
      <c r="T83" s="167"/>
      <c r="U83" s="167"/>
      <c r="V83" s="167"/>
      <c r="W83" s="167"/>
      <c r="X83" s="167"/>
      <c r="Y83" s="167"/>
      <c r="Z83" s="167"/>
    </row>
    <row r="84" spans="1:26" ht="13.5" customHeight="1" x14ac:dyDescent="0.25">
      <c r="A84" s="162"/>
      <c r="B84" s="279"/>
      <c r="C84" s="264"/>
      <c r="D84" s="264"/>
      <c r="E84" s="264"/>
      <c r="F84" s="168" t="s">
        <v>89</v>
      </c>
      <c r="G84" s="169">
        <f>+E82*0.2</f>
        <v>0.1724</v>
      </c>
      <c r="H84" s="170"/>
      <c r="I84" s="171"/>
      <c r="J84" s="172">
        <v>0.48799999999999999</v>
      </c>
      <c r="K84" s="264"/>
      <c r="L84" s="264"/>
      <c r="M84" s="264"/>
      <c r="N84" s="264"/>
      <c r="O84" s="264"/>
      <c r="P84" s="268"/>
      <c r="Q84" s="167"/>
      <c r="R84" s="167"/>
      <c r="S84" s="167"/>
      <c r="T84" s="167"/>
      <c r="U84" s="167"/>
      <c r="V84" s="167"/>
      <c r="W84" s="167"/>
      <c r="X84" s="167"/>
      <c r="Y84" s="167"/>
      <c r="Z84" s="167"/>
    </row>
    <row r="85" spans="1:26" ht="13.5" customHeight="1" x14ac:dyDescent="0.25">
      <c r="A85" s="162"/>
      <c r="B85" s="279"/>
      <c r="C85" s="264"/>
      <c r="D85" s="264"/>
      <c r="E85" s="264"/>
      <c r="F85" s="168" t="s">
        <v>90</v>
      </c>
      <c r="G85" s="169">
        <f>+E82*0.3</f>
        <v>0.2586</v>
      </c>
      <c r="H85" s="170"/>
      <c r="I85" s="171"/>
      <c r="J85" s="172">
        <v>0.47299999999999998</v>
      </c>
      <c r="K85" s="264"/>
      <c r="L85" s="264"/>
      <c r="M85" s="264"/>
      <c r="N85" s="264"/>
      <c r="O85" s="264"/>
      <c r="P85" s="268"/>
      <c r="Q85" s="167"/>
      <c r="R85" s="167"/>
      <c r="S85" s="167"/>
      <c r="T85" s="167"/>
      <c r="U85" s="167"/>
      <c r="V85" s="167"/>
      <c r="W85" s="167"/>
      <c r="X85" s="167"/>
      <c r="Y85" s="167"/>
      <c r="Z85" s="167"/>
    </row>
    <row r="86" spans="1:26" ht="13.5" customHeight="1" x14ac:dyDescent="0.25">
      <c r="A86" s="162"/>
      <c r="B86" s="279"/>
      <c r="C86" s="282"/>
      <c r="D86" s="282"/>
      <c r="E86" s="264"/>
      <c r="F86" s="168" t="s">
        <v>91</v>
      </c>
      <c r="G86" s="169">
        <f>+E82*0.4</f>
        <v>0.3448</v>
      </c>
      <c r="H86" s="170"/>
      <c r="I86" s="171"/>
      <c r="J86" s="172">
        <v>0.54200000000000004</v>
      </c>
      <c r="K86" s="264"/>
      <c r="L86" s="264"/>
      <c r="M86" s="264"/>
      <c r="N86" s="264"/>
      <c r="O86" s="264"/>
      <c r="P86" s="268"/>
      <c r="Q86" s="167"/>
      <c r="R86" s="167"/>
      <c r="S86" s="167"/>
      <c r="T86" s="167"/>
      <c r="U86" s="167"/>
      <c r="V86" s="167"/>
      <c r="W86" s="167"/>
      <c r="X86" s="167"/>
      <c r="Y86" s="167"/>
      <c r="Z86" s="167"/>
    </row>
    <row r="87" spans="1:26" ht="13.5" customHeight="1" x14ac:dyDescent="0.25">
      <c r="A87" s="162"/>
      <c r="B87" s="279"/>
      <c r="C87" s="270">
        <f t="shared" ref="C87:D87" si="1">+C49</f>
        <v>8.9500000000000011</v>
      </c>
      <c r="D87" s="271">
        <f t="shared" si="1"/>
        <v>0.73</v>
      </c>
      <c r="E87" s="264"/>
      <c r="F87" s="168" t="s">
        <v>29</v>
      </c>
      <c r="G87" s="169">
        <f>+E82*0.5</f>
        <v>0.43099999999999999</v>
      </c>
      <c r="H87" s="170"/>
      <c r="I87" s="171"/>
      <c r="J87" s="172">
        <v>0.60699999999999998</v>
      </c>
      <c r="K87" s="264"/>
      <c r="L87" s="264"/>
      <c r="M87" s="264"/>
      <c r="N87" s="264"/>
      <c r="O87" s="264"/>
      <c r="P87" s="268"/>
      <c r="Q87" s="167"/>
      <c r="R87" s="167"/>
      <c r="S87" s="167"/>
      <c r="T87" s="167"/>
      <c r="U87" s="167"/>
      <c r="V87" s="167"/>
      <c r="W87" s="167"/>
      <c r="X87" s="167"/>
      <c r="Y87" s="167"/>
      <c r="Z87" s="167"/>
    </row>
    <row r="88" spans="1:26" ht="13.5" customHeight="1" x14ac:dyDescent="0.25">
      <c r="A88" s="162"/>
      <c r="B88" s="279"/>
      <c r="C88" s="264"/>
      <c r="D88" s="264"/>
      <c r="E88" s="264"/>
      <c r="F88" s="168" t="s">
        <v>92</v>
      </c>
      <c r="G88" s="169">
        <f>+E82*0.6</f>
        <v>0.51719999999999999</v>
      </c>
      <c r="H88" s="170"/>
      <c r="I88" s="171"/>
      <c r="J88" s="172">
        <v>0.61</v>
      </c>
      <c r="K88" s="264"/>
      <c r="L88" s="264"/>
      <c r="M88" s="264"/>
      <c r="N88" s="264"/>
      <c r="O88" s="264"/>
      <c r="P88" s="268"/>
      <c r="Q88" s="167"/>
      <c r="R88" s="167"/>
      <c r="S88" s="167"/>
      <c r="T88" s="167"/>
      <c r="U88" s="167"/>
      <c r="V88" s="167"/>
      <c r="W88" s="167"/>
      <c r="X88" s="167"/>
      <c r="Y88" s="167"/>
      <c r="Z88" s="167"/>
    </row>
    <row r="89" spans="1:26" ht="13.5" customHeight="1" x14ac:dyDescent="0.25">
      <c r="A89" s="162"/>
      <c r="B89" s="279"/>
      <c r="C89" s="264"/>
      <c r="D89" s="264"/>
      <c r="E89" s="264"/>
      <c r="F89" s="168" t="s">
        <v>93</v>
      </c>
      <c r="G89" s="169">
        <f>+E82*0.7</f>
        <v>0.60339999999999994</v>
      </c>
      <c r="H89" s="170"/>
      <c r="I89" s="171"/>
      <c r="J89" s="172">
        <v>0.63700000000000001</v>
      </c>
      <c r="K89" s="264"/>
      <c r="L89" s="264"/>
      <c r="M89" s="264"/>
      <c r="N89" s="264"/>
      <c r="O89" s="264"/>
      <c r="P89" s="268"/>
      <c r="Q89" s="167"/>
      <c r="R89" s="167"/>
      <c r="S89" s="167"/>
      <c r="T89" s="167"/>
      <c r="U89" s="167"/>
      <c r="V89" s="167"/>
      <c r="W89" s="167"/>
      <c r="X89" s="167"/>
      <c r="Y89" s="167"/>
      <c r="Z89" s="167"/>
    </row>
    <row r="90" spans="1:26" ht="13.5" customHeight="1" x14ac:dyDescent="0.25">
      <c r="A90" s="162"/>
      <c r="B90" s="279"/>
      <c r="C90" s="264"/>
      <c r="D90" s="264"/>
      <c r="E90" s="264"/>
      <c r="F90" s="168" t="s">
        <v>94</v>
      </c>
      <c r="G90" s="169">
        <f>+E82*0.8</f>
        <v>0.68959999999999999</v>
      </c>
      <c r="H90" s="170"/>
      <c r="I90" s="171"/>
      <c r="J90" s="172">
        <v>0.66100000000000003</v>
      </c>
      <c r="K90" s="264"/>
      <c r="L90" s="264"/>
      <c r="M90" s="264"/>
      <c r="N90" s="264"/>
      <c r="O90" s="264"/>
      <c r="P90" s="268"/>
      <c r="Q90" s="167"/>
      <c r="R90" s="167"/>
      <c r="S90" s="167"/>
      <c r="T90" s="167"/>
      <c r="U90" s="167"/>
      <c r="V90" s="167"/>
      <c r="W90" s="167"/>
      <c r="X90" s="167"/>
      <c r="Y90" s="167"/>
      <c r="Z90" s="167"/>
    </row>
    <row r="91" spans="1:26" ht="13.5" customHeight="1" x14ac:dyDescent="0.25">
      <c r="A91" s="162"/>
      <c r="B91" s="279"/>
      <c r="C91" s="264"/>
      <c r="D91" s="264"/>
      <c r="E91" s="264"/>
      <c r="F91" s="168" t="s">
        <v>95</v>
      </c>
      <c r="G91" s="169">
        <f>+E82*0.9</f>
        <v>0.77580000000000005</v>
      </c>
      <c r="H91" s="170"/>
      <c r="I91" s="171"/>
      <c r="J91" s="172">
        <v>0.66500000000000004</v>
      </c>
      <c r="K91" s="264"/>
      <c r="L91" s="264"/>
      <c r="M91" s="264"/>
      <c r="N91" s="264"/>
      <c r="O91" s="264"/>
      <c r="P91" s="268"/>
      <c r="Q91" s="167"/>
      <c r="R91" s="167"/>
      <c r="S91" s="167"/>
      <c r="T91" s="167"/>
      <c r="U91" s="167"/>
      <c r="V91" s="167"/>
      <c r="W91" s="167"/>
      <c r="X91" s="167"/>
      <c r="Y91" s="167"/>
      <c r="Z91" s="167"/>
    </row>
    <row r="92" spans="1:26" ht="15.75" thickBot="1" x14ac:dyDescent="0.3">
      <c r="A92" s="162"/>
      <c r="B92" s="280"/>
      <c r="C92" s="265"/>
      <c r="D92" s="265"/>
      <c r="E92" s="265"/>
      <c r="F92" s="173" t="s">
        <v>30</v>
      </c>
      <c r="G92" s="173">
        <f>+E82</f>
        <v>0.86199999999999999</v>
      </c>
      <c r="H92" s="174"/>
      <c r="I92" s="175"/>
      <c r="J92" s="176">
        <v>0.65700000000000003</v>
      </c>
      <c r="K92" s="265"/>
      <c r="L92" s="265"/>
      <c r="M92" s="265"/>
      <c r="N92" s="265"/>
      <c r="O92" s="265"/>
      <c r="P92" s="269"/>
      <c r="Q92" s="167"/>
      <c r="R92" s="167"/>
      <c r="S92" s="167"/>
      <c r="T92" s="167"/>
      <c r="U92" s="167"/>
      <c r="V92" s="167"/>
      <c r="W92" s="167"/>
      <c r="X92" s="167"/>
      <c r="Y92" s="167"/>
      <c r="Z92" s="167"/>
    </row>
    <row r="93" spans="1:26" s="158" customFormat="1" ht="12.75" x14ac:dyDescent="0.2">
      <c r="A93" s="177"/>
      <c r="B93" s="251" t="s">
        <v>104</v>
      </c>
      <c r="C93" s="251"/>
      <c r="D93" s="251"/>
      <c r="E93" s="251"/>
      <c r="F93" s="251"/>
      <c r="G93" s="251"/>
      <c r="H93" s="251"/>
      <c r="I93" s="251"/>
      <c r="J93" s="251"/>
      <c r="K93" s="178">
        <f>ROUND(+M93/L93,3)</f>
        <v>0.443</v>
      </c>
      <c r="L93" s="179">
        <f>SUM(L19:L92)</f>
        <v>6.2359999999999998</v>
      </c>
      <c r="M93" s="180">
        <f>SUM(M19:M92)</f>
        <v>2.7654999999999998</v>
      </c>
      <c r="N93" s="181">
        <f>ROUND(SUM(N19:N92),0)</f>
        <v>100</v>
      </c>
      <c r="O93" s="253" t="s">
        <v>31</v>
      </c>
      <c r="P93" s="255"/>
    </row>
    <row r="94" spans="1:26" s="158" customFormat="1" ht="15" customHeight="1" thickBot="1" x14ac:dyDescent="0.25">
      <c r="A94" s="177"/>
      <c r="B94" s="252"/>
      <c r="C94" s="252"/>
      <c r="D94" s="252"/>
      <c r="E94" s="252"/>
      <c r="F94" s="252"/>
      <c r="G94" s="252"/>
      <c r="H94" s="252"/>
      <c r="I94" s="252"/>
      <c r="J94" s="252"/>
      <c r="K94" s="182" t="s">
        <v>32</v>
      </c>
      <c r="L94" s="182" t="s">
        <v>132</v>
      </c>
      <c r="M94" s="182" t="s">
        <v>133</v>
      </c>
      <c r="N94" s="182" t="s">
        <v>33</v>
      </c>
      <c r="O94" s="254"/>
      <c r="P94" s="256"/>
    </row>
    <row r="95" spans="1:26" s="184" customFormat="1" ht="15" customHeight="1" thickBot="1" x14ac:dyDescent="0.3">
      <c r="A95" s="183"/>
      <c r="B95" s="257" t="s">
        <v>96</v>
      </c>
      <c r="C95" s="258"/>
      <c r="D95" s="258"/>
      <c r="E95" s="258"/>
      <c r="F95" s="259"/>
      <c r="G95" s="257" t="s">
        <v>97</v>
      </c>
      <c r="H95" s="258"/>
      <c r="I95" s="258"/>
      <c r="J95" s="258"/>
      <c r="K95" s="259"/>
      <c r="L95" s="260" t="s">
        <v>49</v>
      </c>
      <c r="M95" s="261"/>
      <c r="N95" s="261"/>
      <c r="O95" s="261"/>
      <c r="P95" s="262"/>
    </row>
    <row r="96" spans="1:26" s="184" customFormat="1" ht="15" customHeight="1" x14ac:dyDescent="0.25">
      <c r="A96" s="183"/>
      <c r="B96" s="221"/>
      <c r="C96" s="222"/>
      <c r="D96" s="222"/>
      <c r="E96" s="222"/>
      <c r="F96" s="223"/>
      <c r="G96" s="221"/>
      <c r="H96" s="222"/>
      <c r="I96" s="222"/>
      <c r="J96" s="222"/>
      <c r="K96" s="223"/>
      <c r="L96" s="230" t="s">
        <v>98</v>
      </c>
      <c r="M96" s="231"/>
      <c r="N96" s="231"/>
      <c r="O96" s="397">
        <f>+AVERAGE(E18:E73)</f>
        <v>0.47354545454545444</v>
      </c>
      <c r="P96" s="398"/>
    </row>
    <row r="97" spans="1:24" s="184" customFormat="1" ht="15" customHeight="1" thickBot="1" x14ac:dyDescent="0.3">
      <c r="A97" s="183"/>
      <c r="B97" s="224"/>
      <c r="C97" s="225"/>
      <c r="D97" s="225"/>
      <c r="E97" s="225"/>
      <c r="F97" s="226"/>
      <c r="G97" s="224"/>
      <c r="H97" s="225"/>
      <c r="I97" s="225"/>
      <c r="J97" s="225"/>
      <c r="K97" s="226"/>
      <c r="L97" s="234" t="s">
        <v>99</v>
      </c>
      <c r="M97" s="235"/>
      <c r="N97" s="235"/>
      <c r="O97" s="399">
        <f>MAX(E18:E73)</f>
        <v>0.86199999999999999</v>
      </c>
      <c r="P97" s="400"/>
    </row>
    <row r="98" spans="1:24" s="184" customFormat="1" ht="18.600000000000001" customHeight="1" x14ac:dyDescent="0.25">
      <c r="A98" s="185"/>
      <c r="B98" s="224"/>
      <c r="C98" s="225"/>
      <c r="D98" s="225"/>
      <c r="E98" s="225"/>
      <c r="F98" s="226"/>
      <c r="G98" s="224"/>
      <c r="H98" s="225"/>
      <c r="I98" s="225"/>
      <c r="J98" s="225"/>
      <c r="K98" s="226"/>
      <c r="L98" s="238"/>
      <c r="M98" s="239"/>
      <c r="N98" s="239"/>
      <c r="O98" s="239"/>
      <c r="P98" s="240"/>
    </row>
    <row r="99" spans="1:24" s="184" customFormat="1" ht="42" customHeight="1" x14ac:dyDescent="0.25">
      <c r="A99" s="186"/>
      <c r="B99" s="224"/>
      <c r="C99" s="225"/>
      <c r="D99" s="225"/>
      <c r="E99" s="225"/>
      <c r="F99" s="226"/>
      <c r="G99" s="224"/>
      <c r="H99" s="225"/>
      <c r="I99" s="225"/>
      <c r="J99" s="225"/>
      <c r="K99" s="226"/>
      <c r="L99" s="241"/>
      <c r="M99" s="242"/>
      <c r="N99" s="242"/>
      <c r="O99" s="242"/>
      <c r="P99" s="243"/>
    </row>
    <row r="100" spans="1:24" s="184" customFormat="1" ht="15" customHeight="1" thickBot="1" x14ac:dyDescent="0.3">
      <c r="A100" s="183"/>
      <c r="B100" s="224"/>
      <c r="C100" s="225"/>
      <c r="D100" s="225"/>
      <c r="E100" s="225"/>
      <c r="F100" s="226"/>
      <c r="G100" s="224"/>
      <c r="H100" s="225"/>
      <c r="I100" s="225"/>
      <c r="J100" s="225"/>
      <c r="K100" s="226"/>
      <c r="L100" s="244"/>
      <c r="M100" s="245"/>
      <c r="N100" s="245"/>
      <c r="O100" s="245"/>
      <c r="P100" s="246"/>
    </row>
    <row r="101" spans="1:24" s="184" customFormat="1" ht="22.5" customHeight="1" thickBot="1" x14ac:dyDescent="0.3">
      <c r="A101" s="183"/>
      <c r="B101" s="224"/>
      <c r="C101" s="225"/>
      <c r="D101" s="225"/>
      <c r="E101" s="225"/>
      <c r="F101" s="226"/>
      <c r="G101" s="224"/>
      <c r="H101" s="225"/>
      <c r="I101" s="225"/>
      <c r="J101" s="225"/>
      <c r="K101" s="226"/>
      <c r="L101" s="247" t="s">
        <v>34</v>
      </c>
      <c r="M101" s="248"/>
      <c r="N101" s="248"/>
      <c r="O101" s="248"/>
      <c r="P101" s="187">
        <v>5.0999999999999996</v>
      </c>
    </row>
    <row r="102" spans="1:24" s="184" customFormat="1" ht="32.25" customHeight="1" thickBot="1" x14ac:dyDescent="0.3">
      <c r="A102" s="183"/>
      <c r="B102" s="227"/>
      <c r="C102" s="228"/>
      <c r="D102" s="228"/>
      <c r="E102" s="228"/>
      <c r="F102" s="229"/>
      <c r="G102" s="227"/>
      <c r="H102" s="228"/>
      <c r="I102" s="228"/>
      <c r="J102" s="228"/>
      <c r="K102" s="229"/>
      <c r="L102" s="249" t="s">
        <v>135</v>
      </c>
      <c r="M102" s="250"/>
      <c r="N102" s="250"/>
      <c r="O102" s="250"/>
      <c r="P102" s="187">
        <v>1.31</v>
      </c>
    </row>
    <row r="103" spans="1:24" ht="23.25" customHeight="1" thickBot="1" x14ac:dyDescent="0.3">
      <c r="A103" s="101"/>
      <c r="B103" s="209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</row>
    <row r="104" spans="1:24" ht="14.25" customHeight="1" thickBot="1" x14ac:dyDescent="0.3">
      <c r="A104" s="210" t="s">
        <v>35</v>
      </c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2"/>
    </row>
    <row r="105" spans="1:24" ht="168" customHeight="1" thickBot="1" x14ac:dyDescent="0.3">
      <c r="A105" s="188"/>
      <c r="B105" s="391" t="s">
        <v>139</v>
      </c>
      <c r="C105" s="205"/>
      <c r="D105" s="205"/>
      <c r="E105" s="205"/>
      <c r="F105" s="205"/>
      <c r="G105" s="205"/>
      <c r="H105" s="205"/>
      <c r="I105" s="205"/>
      <c r="J105" s="392" t="s">
        <v>105</v>
      </c>
      <c r="K105" s="205"/>
      <c r="L105" s="205"/>
      <c r="M105" s="205"/>
      <c r="N105" s="205"/>
      <c r="O105" s="205"/>
      <c r="P105" s="208"/>
      <c r="Q105" s="101"/>
      <c r="R105" s="101"/>
      <c r="S105" s="101"/>
      <c r="T105" s="101"/>
      <c r="U105" s="101"/>
      <c r="V105" s="101"/>
      <c r="W105" s="101"/>
      <c r="X105" s="101"/>
    </row>
    <row r="106" spans="1:24" ht="21.75" customHeight="1" thickBot="1" x14ac:dyDescent="0.3">
      <c r="A106" s="188"/>
      <c r="B106" s="393"/>
      <c r="C106" s="394"/>
      <c r="D106" s="394"/>
      <c r="E106" s="394"/>
      <c r="F106" s="395"/>
      <c r="G106" s="393"/>
      <c r="H106" s="394"/>
      <c r="I106" s="394"/>
      <c r="J106" s="394"/>
      <c r="K106" s="395"/>
      <c r="L106" s="393"/>
      <c r="M106" s="394"/>
      <c r="N106" s="394"/>
      <c r="O106" s="394"/>
      <c r="P106" s="396"/>
    </row>
    <row r="107" spans="1:24" ht="16.5" customHeight="1" thickBot="1" x14ac:dyDescent="0.3">
      <c r="A107" s="189"/>
      <c r="B107" s="201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3"/>
      <c r="Q107" s="190"/>
      <c r="R107" s="190"/>
      <c r="S107" s="190"/>
      <c r="T107" s="190"/>
      <c r="U107" s="190"/>
      <c r="V107" s="190"/>
      <c r="W107" s="190"/>
      <c r="X107" s="190"/>
    </row>
    <row r="108" spans="1:24" ht="15.75" customHeight="1" thickBot="1" x14ac:dyDescent="0.3">
      <c r="A108" s="204" t="s">
        <v>36</v>
      </c>
      <c r="B108" s="205"/>
      <c r="C108" s="206"/>
      <c r="D108" s="207" t="s">
        <v>108</v>
      </c>
      <c r="E108" s="205"/>
      <c r="F108" s="205"/>
      <c r="G108" s="205"/>
      <c r="H108" s="205"/>
      <c r="I108" s="206"/>
      <c r="J108" s="207" t="s">
        <v>37</v>
      </c>
      <c r="K108" s="206"/>
      <c r="L108" s="207"/>
      <c r="M108" s="205"/>
      <c r="N108" s="205"/>
      <c r="O108" s="205"/>
      <c r="P108" s="208"/>
      <c r="Q108" s="167"/>
      <c r="R108" s="167"/>
      <c r="S108" s="167"/>
      <c r="T108" s="167"/>
      <c r="U108" s="167"/>
      <c r="V108" s="167"/>
      <c r="W108" s="167"/>
      <c r="X108" s="167"/>
    </row>
    <row r="109" spans="1:24" ht="14.25" customHeight="1" x14ac:dyDescent="0.25"/>
    <row r="110" spans="1:24" ht="14.25" customHeight="1" x14ac:dyDescent="0.25"/>
    <row r="111" spans="1:24" ht="14.25" customHeight="1" x14ac:dyDescent="0.25"/>
    <row r="112" spans="1:24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21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9:M73"/>
    <mergeCell ref="N69:N73"/>
    <mergeCell ref="O69:O73"/>
    <mergeCell ref="P69:P73"/>
    <mergeCell ref="B74:B79"/>
    <mergeCell ref="C74:P79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C80:H80"/>
    <mergeCell ref="I80:I81"/>
    <mergeCell ref="K80:P80"/>
    <mergeCell ref="C81:H81"/>
    <mergeCell ref="K81:P81"/>
    <mergeCell ref="B82:B92"/>
    <mergeCell ref="C82:C86"/>
    <mergeCell ref="D82:D86"/>
    <mergeCell ref="E82:E92"/>
    <mergeCell ref="K82:K92"/>
    <mergeCell ref="B93:J94"/>
    <mergeCell ref="O93:O94"/>
    <mergeCell ref="P93:P94"/>
    <mergeCell ref="B95:F95"/>
    <mergeCell ref="G95:K95"/>
    <mergeCell ref="L95:P95"/>
    <mergeCell ref="L82:L92"/>
    <mergeCell ref="M82:M92"/>
    <mergeCell ref="N82:N92"/>
    <mergeCell ref="O82:O92"/>
    <mergeCell ref="P82:P92"/>
    <mergeCell ref="C87:C92"/>
    <mergeCell ref="D87:D92"/>
    <mergeCell ref="B96:F102"/>
    <mergeCell ref="G96:K102"/>
    <mergeCell ref="L96:N96"/>
    <mergeCell ref="O96:P96"/>
    <mergeCell ref="L97:N97"/>
    <mergeCell ref="O97:P97"/>
    <mergeCell ref="L98:P100"/>
    <mergeCell ref="L101:O101"/>
    <mergeCell ref="L102:O102"/>
    <mergeCell ref="B107:P107"/>
    <mergeCell ref="A108:C108"/>
    <mergeCell ref="D108:I108"/>
    <mergeCell ref="J108:K108"/>
    <mergeCell ref="L108:P108"/>
    <mergeCell ref="B103:P103"/>
    <mergeCell ref="A104:P104"/>
    <mergeCell ref="B105:I105"/>
    <mergeCell ref="J105:P105"/>
    <mergeCell ref="B106:F106"/>
    <mergeCell ref="G106:K106"/>
    <mergeCell ref="L106:P10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2.140625" customWidth="1"/>
    <col min="11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594"/>
      <c r="B2" s="595"/>
      <c r="C2" s="596"/>
      <c r="D2" s="597"/>
      <c r="E2" s="598" t="s">
        <v>144</v>
      </c>
      <c r="F2" s="599"/>
      <c r="G2" s="599"/>
      <c r="H2" s="599"/>
      <c r="I2" s="599"/>
      <c r="J2" s="599"/>
      <c r="K2" s="599"/>
      <c r="L2" s="599"/>
      <c r="M2" s="599"/>
      <c r="N2" s="599"/>
      <c r="O2" s="600"/>
      <c r="P2" s="601"/>
    </row>
    <row r="3" spans="1:26" s="2" customFormat="1" ht="25.5" customHeight="1" thickBot="1" x14ac:dyDescent="0.3">
      <c r="A3" s="594"/>
      <c r="B3" s="602"/>
      <c r="C3" s="603"/>
      <c r="D3" s="604"/>
      <c r="E3" s="605"/>
      <c r="F3" s="606"/>
      <c r="G3" s="606"/>
      <c r="H3" s="606"/>
      <c r="I3" s="606"/>
      <c r="J3" s="606"/>
      <c r="K3" s="606"/>
      <c r="L3" s="606"/>
      <c r="M3" s="606"/>
      <c r="N3" s="606"/>
      <c r="O3" s="607"/>
      <c r="P3" s="608"/>
    </row>
    <row r="4" spans="1:26" s="91" customFormat="1" ht="11.25" customHeight="1" thickBot="1" x14ac:dyDescent="0.3">
      <c r="A4" s="15"/>
      <c r="B4" s="588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589">
        <v>43109</v>
      </c>
      <c r="D5" s="590"/>
      <c r="E5" s="70" t="s">
        <v>50</v>
      </c>
      <c r="F5" s="71">
        <v>3</v>
      </c>
      <c r="G5" s="72" t="s">
        <v>1</v>
      </c>
      <c r="H5" s="591" t="s">
        <v>145</v>
      </c>
      <c r="I5" s="592"/>
      <c r="J5" s="592"/>
      <c r="K5" s="592"/>
      <c r="L5" s="592"/>
      <c r="M5" s="592"/>
      <c r="N5" s="592"/>
      <c r="O5" s="592"/>
      <c r="P5" s="593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572" t="s">
        <v>2</v>
      </c>
      <c r="C6" s="573"/>
      <c r="D6" s="574" t="s">
        <v>140</v>
      </c>
      <c r="E6" s="575"/>
      <c r="F6" s="575"/>
      <c r="G6" s="575"/>
      <c r="H6" s="575"/>
      <c r="I6" s="576"/>
      <c r="J6" s="74" t="s">
        <v>3</v>
      </c>
      <c r="K6" s="577" t="s">
        <v>110</v>
      </c>
      <c r="L6" s="576"/>
      <c r="M6" s="577" t="s">
        <v>111</v>
      </c>
      <c r="N6" s="578"/>
      <c r="O6" s="75" t="s">
        <v>51</v>
      </c>
      <c r="P6" s="76">
        <v>1773</v>
      </c>
    </row>
    <row r="7" spans="1:26" s="18" customFormat="1" ht="21.75" customHeight="1" x14ac:dyDescent="0.25">
      <c r="B7" s="579" t="s">
        <v>52</v>
      </c>
      <c r="C7" s="580" t="s">
        <v>53</v>
      </c>
      <c r="D7" s="550"/>
      <c r="E7" s="78"/>
      <c r="F7" s="581" t="s">
        <v>54</v>
      </c>
      <c r="G7" s="582"/>
      <c r="H7" s="582"/>
      <c r="I7" s="582"/>
      <c r="J7" s="583" t="s">
        <v>55</v>
      </c>
      <c r="K7" s="584"/>
      <c r="L7" s="584"/>
      <c r="M7" s="585"/>
      <c r="N7" s="586" t="s">
        <v>101</v>
      </c>
      <c r="O7" s="587"/>
      <c r="P7" s="79" t="s">
        <v>56</v>
      </c>
    </row>
    <row r="8" spans="1:26" s="18" customFormat="1" ht="21.75" customHeight="1" thickBot="1" x14ac:dyDescent="0.3">
      <c r="B8" s="524"/>
      <c r="C8" s="541" t="s">
        <v>57</v>
      </c>
      <c r="D8" s="540"/>
      <c r="E8" s="80" t="s">
        <v>4</v>
      </c>
      <c r="F8" s="551" t="s">
        <v>5</v>
      </c>
      <c r="G8" s="552"/>
      <c r="H8" s="552"/>
      <c r="I8" s="552"/>
      <c r="J8" s="553"/>
      <c r="K8" s="554"/>
      <c r="L8" s="554"/>
      <c r="M8" s="555"/>
      <c r="N8" s="556"/>
      <c r="O8" s="557"/>
      <c r="P8" s="81"/>
    </row>
    <row r="9" spans="1:26" s="18" customFormat="1" ht="21.75" customHeight="1" x14ac:dyDescent="0.25">
      <c r="B9" s="558" t="s">
        <v>6</v>
      </c>
      <c r="C9" s="561" t="s">
        <v>58</v>
      </c>
      <c r="D9" s="562" t="s">
        <v>59</v>
      </c>
      <c r="E9" s="547"/>
      <c r="F9" s="82"/>
      <c r="G9" s="563" t="s">
        <v>7</v>
      </c>
      <c r="H9" s="564" t="s">
        <v>8</v>
      </c>
      <c r="I9" s="550"/>
      <c r="J9" s="83"/>
      <c r="K9" s="561" t="s">
        <v>60</v>
      </c>
      <c r="L9" s="565" t="s">
        <v>141</v>
      </c>
      <c r="M9" s="566"/>
      <c r="N9" s="567"/>
      <c r="O9" s="567"/>
      <c r="P9" s="568"/>
    </row>
    <row r="10" spans="1:26" s="18" customFormat="1" ht="21.75" customHeight="1" thickBot="1" x14ac:dyDescent="0.3">
      <c r="B10" s="559"/>
      <c r="C10" s="504"/>
      <c r="D10" s="545" t="s">
        <v>61</v>
      </c>
      <c r="E10" s="540"/>
      <c r="F10" s="84" t="s">
        <v>4</v>
      </c>
      <c r="G10" s="504"/>
      <c r="H10" s="545" t="s">
        <v>9</v>
      </c>
      <c r="I10" s="540"/>
      <c r="J10" s="85" t="s">
        <v>4</v>
      </c>
      <c r="K10" s="504"/>
      <c r="L10" s="569"/>
      <c r="M10" s="570"/>
      <c r="N10" s="570"/>
      <c r="O10" s="570"/>
      <c r="P10" s="571"/>
    </row>
    <row r="11" spans="1:26" s="18" customFormat="1" ht="21.75" customHeight="1" x14ac:dyDescent="0.25">
      <c r="A11" s="16"/>
      <c r="B11" s="559"/>
      <c r="C11" s="546" t="s">
        <v>10</v>
      </c>
      <c r="D11" s="547"/>
      <c r="E11" s="86">
        <v>0.625</v>
      </c>
      <c r="F11" s="548" t="s">
        <v>11</v>
      </c>
      <c r="G11" s="547"/>
      <c r="H11" s="87">
        <v>0.47</v>
      </c>
      <c r="I11" s="549" t="s">
        <v>12</v>
      </c>
      <c r="J11" s="550"/>
      <c r="K11" s="87">
        <v>17</v>
      </c>
      <c r="L11" s="546" t="s">
        <v>13</v>
      </c>
      <c r="M11" s="547"/>
      <c r="N11" s="88">
        <v>12.9</v>
      </c>
      <c r="O11" s="537" t="s">
        <v>62</v>
      </c>
      <c r="P11" s="538"/>
    </row>
    <row r="12" spans="1:26" s="18" customFormat="1" ht="21.75" customHeight="1" thickBot="1" x14ac:dyDescent="0.3">
      <c r="A12" s="16"/>
      <c r="B12" s="560"/>
      <c r="C12" s="539" t="s">
        <v>14</v>
      </c>
      <c r="D12" s="540"/>
      <c r="E12" s="86">
        <v>0.67708333333333337</v>
      </c>
      <c r="F12" s="541" t="s">
        <v>15</v>
      </c>
      <c r="G12" s="540"/>
      <c r="H12" s="87">
        <v>0.47</v>
      </c>
      <c r="I12" s="542" t="s">
        <v>16</v>
      </c>
      <c r="J12" s="540"/>
      <c r="K12" s="86">
        <v>0.1277777777777778</v>
      </c>
      <c r="L12" s="539" t="s">
        <v>17</v>
      </c>
      <c r="M12" s="540"/>
      <c r="N12" s="89">
        <v>1</v>
      </c>
      <c r="O12" s="543">
        <v>1</v>
      </c>
      <c r="P12" s="544"/>
    </row>
    <row r="13" spans="1:26" s="18" customFormat="1" ht="21.75" customHeight="1" x14ac:dyDescent="0.25">
      <c r="A13" s="16"/>
      <c r="B13" s="522" t="s">
        <v>18</v>
      </c>
      <c r="C13" s="525" t="s">
        <v>63</v>
      </c>
      <c r="D13" s="526"/>
      <c r="E13" s="526"/>
      <c r="F13" s="527" t="s">
        <v>64</v>
      </c>
      <c r="G13" s="526"/>
      <c r="H13" s="526"/>
      <c r="I13" s="526"/>
      <c r="J13" s="527" t="s">
        <v>65</v>
      </c>
      <c r="K13" s="526"/>
      <c r="L13" s="526"/>
      <c r="M13" s="526"/>
      <c r="N13" s="528" t="s">
        <v>66</v>
      </c>
      <c r="O13" s="526"/>
      <c r="P13" s="529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523"/>
      <c r="C14" s="530" t="s">
        <v>67</v>
      </c>
      <c r="D14" s="531"/>
      <c r="E14" s="531"/>
      <c r="F14" s="532" t="s">
        <v>68</v>
      </c>
      <c r="G14" s="531"/>
      <c r="H14" s="531"/>
      <c r="I14" s="531"/>
      <c r="J14" s="533" t="s">
        <v>69</v>
      </c>
      <c r="K14" s="531"/>
      <c r="L14" s="531"/>
      <c r="M14" s="531"/>
      <c r="N14" s="534"/>
      <c r="O14" s="519"/>
      <c r="P14" s="535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524"/>
      <c r="C15" s="536" t="s">
        <v>70</v>
      </c>
      <c r="D15" s="506"/>
      <c r="E15" s="506"/>
      <c r="F15" s="506" t="s">
        <v>71</v>
      </c>
      <c r="G15" s="507"/>
      <c r="H15" s="507"/>
      <c r="I15" s="507"/>
      <c r="J15" s="506" t="s">
        <v>72</v>
      </c>
      <c r="K15" s="507"/>
      <c r="L15" s="507"/>
      <c r="M15" s="507"/>
      <c r="N15" s="508"/>
      <c r="O15" s="509"/>
      <c r="P15" s="510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511" t="s">
        <v>19</v>
      </c>
      <c r="C16" s="513" t="s">
        <v>20</v>
      </c>
      <c r="D16" s="513" t="s">
        <v>40</v>
      </c>
      <c r="E16" s="515" t="s">
        <v>21</v>
      </c>
      <c r="F16" s="516" t="s">
        <v>41</v>
      </c>
      <c r="G16" s="517"/>
      <c r="H16" s="513" t="s">
        <v>73</v>
      </c>
      <c r="I16" s="520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512"/>
      <c r="C17" s="514"/>
      <c r="D17" s="514"/>
      <c r="E17" s="514"/>
      <c r="F17" s="518"/>
      <c r="G17" s="519"/>
      <c r="H17" s="514"/>
      <c r="I17" s="521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</v>
      </c>
      <c r="D18" s="29">
        <v>0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502">
        <v>1</v>
      </c>
      <c r="C19" s="505">
        <f>+C18+$N$12/2</f>
        <v>1.5</v>
      </c>
      <c r="D19" s="482">
        <v>0.22</v>
      </c>
      <c r="E19" s="482">
        <v>0.17799999999999999</v>
      </c>
      <c r="F19" s="36" t="s">
        <v>75</v>
      </c>
      <c r="G19" s="37">
        <v>0</v>
      </c>
      <c r="H19" s="38"/>
      <c r="I19" s="39"/>
      <c r="J19" s="40">
        <v>9.6000000000000002E-2</v>
      </c>
      <c r="K19" s="482">
        <f>+IF(E19&lt;=0.12,(J21),(IF(E19&lt;0.16,((J20+2*J21+J22)/4),IF(E19&gt;=0.16,((J19+3*J20+2*J21+3*J22+J23)/10)))))</f>
        <v>9.5599999999999991E-2</v>
      </c>
      <c r="L19" s="482">
        <f>ROUND(+(D18+D19)/2*(C19-C18),3)</f>
        <v>5.5E-2</v>
      </c>
      <c r="M19" s="482">
        <f>ROUND(+K19*L19,4)</f>
        <v>5.3E-3</v>
      </c>
      <c r="N19" s="485">
        <f>ROUND(+M19/$M$103*100,2)</f>
        <v>0.19</v>
      </c>
      <c r="O19" s="486"/>
      <c r="P19" s="48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503"/>
      <c r="C20" s="483"/>
      <c r="D20" s="483"/>
      <c r="E20" s="483"/>
      <c r="F20" s="41" t="s">
        <v>76</v>
      </c>
      <c r="G20" s="42">
        <f>IF(E19&lt;0.125,"NA",IF(0.125&lt;=E19,(0.2*E19)))</f>
        <v>3.56E-2</v>
      </c>
      <c r="H20" s="43"/>
      <c r="I20" s="44"/>
      <c r="J20" s="45">
        <v>0.08</v>
      </c>
      <c r="K20" s="483"/>
      <c r="L20" s="483"/>
      <c r="M20" s="483"/>
      <c r="N20" s="483"/>
      <c r="O20" s="483"/>
      <c r="P20" s="488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503"/>
      <c r="C21" s="483"/>
      <c r="D21" s="483"/>
      <c r="E21" s="483"/>
      <c r="F21" s="41" t="s">
        <v>77</v>
      </c>
      <c r="G21" s="42">
        <f>+E19*0.4</f>
        <v>7.1199999999999999E-2</v>
      </c>
      <c r="H21" s="43"/>
      <c r="I21" s="44"/>
      <c r="J21" s="45">
        <v>0.10299999999999999</v>
      </c>
      <c r="K21" s="483"/>
      <c r="L21" s="483"/>
      <c r="M21" s="483"/>
      <c r="N21" s="483"/>
      <c r="O21" s="483"/>
      <c r="P21" s="488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503"/>
      <c r="C22" s="483"/>
      <c r="D22" s="483"/>
      <c r="E22" s="483"/>
      <c r="F22" s="41" t="s">
        <v>78</v>
      </c>
      <c r="G22" s="42">
        <f>IF(E19&lt;0.125,"NA",IF(0.125&lt;=E19,(0.8*E19)))</f>
        <v>0.1424</v>
      </c>
      <c r="H22" s="43"/>
      <c r="I22" s="44"/>
      <c r="J22" s="45">
        <v>0.109</v>
      </c>
      <c r="K22" s="483"/>
      <c r="L22" s="483"/>
      <c r="M22" s="483"/>
      <c r="N22" s="483"/>
      <c r="O22" s="483"/>
      <c r="P22" s="488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504"/>
      <c r="C23" s="484"/>
      <c r="D23" s="484"/>
      <c r="E23" s="484"/>
      <c r="F23" s="46" t="s">
        <v>79</v>
      </c>
      <c r="G23" s="47">
        <f>+E19</f>
        <v>0.17799999999999999</v>
      </c>
      <c r="H23" s="48"/>
      <c r="I23" s="49"/>
      <c r="J23" s="50">
        <v>8.6999999999999994E-2</v>
      </c>
      <c r="K23" s="484"/>
      <c r="L23" s="484"/>
      <c r="M23" s="484"/>
      <c r="N23" s="484"/>
      <c r="O23" s="484"/>
      <c r="P23" s="48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502">
        <v>2</v>
      </c>
      <c r="C24" s="505">
        <f>+C19+$N$12</f>
        <v>2.5</v>
      </c>
      <c r="D24" s="482">
        <v>0.41</v>
      </c>
      <c r="E24" s="482">
        <v>0.245</v>
      </c>
      <c r="F24" s="36" t="s">
        <v>75</v>
      </c>
      <c r="G24" s="37">
        <v>0</v>
      </c>
      <c r="H24" s="38"/>
      <c r="I24" s="39"/>
      <c r="J24" s="40">
        <v>0.21099999999999999</v>
      </c>
      <c r="K24" s="482">
        <f t="shared" ref="K24" si="0">+IF(E24&lt;=0.12,(J26),(IF(E24&lt;0.16,((J25+2*J26+J27)/4),IF(E24&gt;=0.16,((J24+3*J25+2*J26+3*J27+J28)/10)))))</f>
        <v>0.20910000000000001</v>
      </c>
      <c r="L24" s="482">
        <f>ROUND(+(D19+D24)/2*(C24-C19),3)</f>
        <v>0.315</v>
      </c>
      <c r="M24" s="482">
        <f t="shared" ref="M24" si="1">ROUND(+K24*L24,4)</f>
        <v>6.59E-2</v>
      </c>
      <c r="N24" s="485">
        <f t="shared" ref="N24" si="2">ROUND(+M24/$M$103*100,2)</f>
        <v>2.42</v>
      </c>
      <c r="O24" s="486"/>
      <c r="P24" s="48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503"/>
      <c r="C25" s="483"/>
      <c r="D25" s="483"/>
      <c r="E25" s="483"/>
      <c r="F25" s="41" t="s">
        <v>76</v>
      </c>
      <c r="G25" s="42">
        <f t="shared" ref="G25" si="3">IF(E24&lt;0.125,"NA",IF(0.125&lt;=E24,(0.2*E24)))</f>
        <v>4.9000000000000002E-2</v>
      </c>
      <c r="H25" s="43"/>
      <c r="I25" s="44"/>
      <c r="J25" s="45">
        <v>0.184</v>
      </c>
      <c r="K25" s="483"/>
      <c r="L25" s="483"/>
      <c r="M25" s="483"/>
      <c r="N25" s="483"/>
      <c r="O25" s="483"/>
      <c r="P25" s="488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503"/>
      <c r="C26" s="483"/>
      <c r="D26" s="483"/>
      <c r="E26" s="483"/>
      <c r="F26" s="41" t="s">
        <v>77</v>
      </c>
      <c r="G26" s="42">
        <f t="shared" ref="G26" si="4">+E24*0.4</f>
        <v>9.8000000000000004E-2</v>
      </c>
      <c r="H26" s="43"/>
      <c r="I26" s="44"/>
      <c r="J26" s="45">
        <v>0.20699999999999999</v>
      </c>
      <c r="K26" s="483"/>
      <c r="L26" s="483"/>
      <c r="M26" s="483"/>
      <c r="N26" s="483"/>
      <c r="O26" s="483"/>
      <c r="P26" s="488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503"/>
      <c r="C27" s="483"/>
      <c r="D27" s="483"/>
      <c r="E27" s="483"/>
      <c r="F27" s="41" t="s">
        <v>78</v>
      </c>
      <c r="G27" s="42">
        <f t="shared" ref="G27" si="5">IF(E24&lt;0.125,"NA",IF(0.125&lt;=E24,(0.8*E24)))</f>
        <v>0.19600000000000001</v>
      </c>
      <c r="H27" s="43"/>
      <c r="I27" s="44"/>
      <c r="J27" s="45">
        <v>0.22500000000000001</v>
      </c>
      <c r="K27" s="483"/>
      <c r="L27" s="483"/>
      <c r="M27" s="483"/>
      <c r="N27" s="483"/>
      <c r="O27" s="483"/>
      <c r="P27" s="488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504"/>
      <c r="C28" s="484"/>
      <c r="D28" s="484"/>
      <c r="E28" s="484"/>
      <c r="F28" s="46" t="s">
        <v>79</v>
      </c>
      <c r="G28" s="47">
        <f t="shared" ref="G28" si="6">+E24</f>
        <v>0.245</v>
      </c>
      <c r="H28" s="48"/>
      <c r="I28" s="49"/>
      <c r="J28" s="50">
        <v>0.23899999999999999</v>
      </c>
      <c r="K28" s="484"/>
      <c r="L28" s="484"/>
      <c r="M28" s="484"/>
      <c r="N28" s="484"/>
      <c r="O28" s="484"/>
      <c r="P28" s="489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502">
        <v>3</v>
      </c>
      <c r="C29" s="505">
        <f>+C24+$N$12</f>
        <v>3.5</v>
      </c>
      <c r="D29" s="482">
        <v>0.49</v>
      </c>
      <c r="E29" s="482">
        <v>0.38400000000000001</v>
      </c>
      <c r="F29" s="36" t="s">
        <v>75</v>
      </c>
      <c r="G29" s="37">
        <v>0</v>
      </c>
      <c r="H29" s="38"/>
      <c r="I29" s="39"/>
      <c r="J29" s="40">
        <v>0.255</v>
      </c>
      <c r="K29" s="482">
        <f t="shared" ref="K29" si="7">+IF(E29&lt;=0.12,(J31),(IF(E29&lt;0.16,((J30+2*J31+J32)/4),IF(E29&gt;=0.16,((J29+3*J30+2*J31+3*J32+J33)/10)))))</f>
        <v>0.34330000000000005</v>
      </c>
      <c r="L29" s="482">
        <f>ROUND(+(D24+D29)/2*(C29-C24),3)</f>
        <v>0.45</v>
      </c>
      <c r="M29" s="482">
        <f t="shared" ref="M29" si="8">ROUND(+K29*L29,4)</f>
        <v>0.1545</v>
      </c>
      <c r="N29" s="485">
        <f t="shared" ref="N29" si="9">ROUND(+M29/$M$103*100,2)</f>
        <v>5.67</v>
      </c>
      <c r="O29" s="486"/>
      <c r="P29" s="48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503"/>
      <c r="C30" s="483"/>
      <c r="D30" s="483"/>
      <c r="E30" s="483"/>
      <c r="F30" s="41" t="s">
        <v>76</v>
      </c>
      <c r="G30" s="42">
        <f t="shared" ref="G30" si="10">IF(E29&lt;0.125,"NA",IF(0.125&lt;=E29,(0.2*E29)))</f>
        <v>7.6800000000000007E-2</v>
      </c>
      <c r="H30" s="43"/>
      <c r="I30" s="44"/>
      <c r="J30" s="45">
        <v>0.311</v>
      </c>
      <c r="K30" s="483"/>
      <c r="L30" s="483"/>
      <c r="M30" s="483"/>
      <c r="N30" s="483"/>
      <c r="O30" s="483"/>
      <c r="P30" s="488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503"/>
      <c r="C31" s="483"/>
      <c r="D31" s="483"/>
      <c r="E31" s="483"/>
      <c r="F31" s="41" t="s">
        <v>77</v>
      </c>
      <c r="G31" s="42">
        <f t="shared" ref="G31" si="11">+E29*0.4</f>
        <v>0.15360000000000001</v>
      </c>
      <c r="H31" s="43"/>
      <c r="I31" s="44"/>
      <c r="J31" s="45">
        <v>0.39400000000000002</v>
      </c>
      <c r="K31" s="483"/>
      <c r="L31" s="483"/>
      <c r="M31" s="483"/>
      <c r="N31" s="483"/>
      <c r="O31" s="483"/>
      <c r="P31" s="488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503"/>
      <c r="C32" s="483"/>
      <c r="D32" s="483"/>
      <c r="E32" s="483"/>
      <c r="F32" s="41" t="s">
        <v>78</v>
      </c>
      <c r="G32" s="42">
        <f t="shared" ref="G32" si="12">IF(E29&lt;0.125,"NA",IF(0.125&lt;=E29,(0.8*E29)))</f>
        <v>0.30720000000000003</v>
      </c>
      <c r="H32" s="43"/>
      <c r="I32" s="44"/>
      <c r="J32" s="45">
        <v>0.36899999999999999</v>
      </c>
      <c r="K32" s="483"/>
      <c r="L32" s="483"/>
      <c r="M32" s="483"/>
      <c r="N32" s="483"/>
      <c r="O32" s="483"/>
      <c r="P32" s="488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504"/>
      <c r="C33" s="484"/>
      <c r="D33" s="484"/>
      <c r="E33" s="484"/>
      <c r="F33" s="46" t="s">
        <v>79</v>
      </c>
      <c r="G33" s="47">
        <f t="shared" ref="G33" si="13">+E29</f>
        <v>0.38400000000000001</v>
      </c>
      <c r="H33" s="48"/>
      <c r="I33" s="49"/>
      <c r="J33" s="50">
        <v>0.35</v>
      </c>
      <c r="K33" s="484"/>
      <c r="L33" s="484"/>
      <c r="M33" s="484"/>
      <c r="N33" s="484"/>
      <c r="O33" s="484"/>
      <c r="P33" s="489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502">
        <v>4</v>
      </c>
      <c r="C34" s="505">
        <f>+C29+$N$12</f>
        <v>4.5</v>
      </c>
      <c r="D34" s="482">
        <v>0.77</v>
      </c>
      <c r="E34" s="482">
        <v>0.53200000000000003</v>
      </c>
      <c r="F34" s="36" t="s">
        <v>75</v>
      </c>
      <c r="G34" s="37">
        <v>0</v>
      </c>
      <c r="H34" s="38"/>
      <c r="I34" s="39"/>
      <c r="J34" s="40">
        <v>0.28499999999999998</v>
      </c>
      <c r="K34" s="482">
        <f t="shared" ref="K34" si="14">+IF(E34&lt;=0.12,(J36),(IF(E34&lt;0.16,((J35+2*J36+J37)/4),IF(E34&gt;=0.16,((J34+3*J35+2*J36+3*J37+J38)/10)))))</f>
        <v>0.38479999999999998</v>
      </c>
      <c r="L34" s="482">
        <f>ROUND(+(D29+D34)/2*(C34-C29),3)</f>
        <v>0.63</v>
      </c>
      <c r="M34" s="482">
        <f t="shared" ref="M34" si="15">ROUND(+K34*L34,4)</f>
        <v>0.2424</v>
      </c>
      <c r="N34" s="485">
        <f t="shared" ref="N34" si="16">ROUND(+M34/$M$103*100,2)</f>
        <v>8.9</v>
      </c>
      <c r="O34" s="486"/>
      <c r="P34" s="48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503"/>
      <c r="C35" s="483"/>
      <c r="D35" s="483"/>
      <c r="E35" s="483"/>
      <c r="F35" s="41" t="s">
        <v>76</v>
      </c>
      <c r="G35" s="42">
        <f t="shared" ref="G35" si="17">IF(E34&lt;0.125,"NA",IF(0.125&lt;=E34,(0.2*E34)))</f>
        <v>0.10640000000000001</v>
      </c>
      <c r="H35" s="43"/>
      <c r="I35" s="44"/>
      <c r="J35" s="45">
        <v>0.318</v>
      </c>
      <c r="K35" s="483"/>
      <c r="L35" s="483"/>
      <c r="M35" s="483"/>
      <c r="N35" s="483"/>
      <c r="O35" s="483"/>
      <c r="P35" s="488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503"/>
      <c r="C36" s="483"/>
      <c r="D36" s="483"/>
      <c r="E36" s="483"/>
      <c r="F36" s="41" t="s">
        <v>77</v>
      </c>
      <c r="G36" s="42">
        <f t="shared" ref="G36" si="18">+E34*0.4</f>
        <v>0.21280000000000002</v>
      </c>
      <c r="H36" s="43"/>
      <c r="I36" s="44"/>
      <c r="J36" s="45">
        <v>0.432</v>
      </c>
      <c r="K36" s="483"/>
      <c r="L36" s="483"/>
      <c r="M36" s="483"/>
      <c r="N36" s="483"/>
      <c r="O36" s="483"/>
      <c r="P36" s="488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503"/>
      <c r="C37" s="483"/>
      <c r="D37" s="483"/>
      <c r="E37" s="483"/>
      <c r="F37" s="41" t="s">
        <v>78</v>
      </c>
      <c r="G37" s="42">
        <f t="shared" ref="G37" si="19">IF(E34&lt;0.125,"NA",IF(0.125&lt;=E34,(0.8*E34)))</f>
        <v>0.42560000000000003</v>
      </c>
      <c r="H37" s="43"/>
      <c r="I37" s="44"/>
      <c r="J37" s="45">
        <v>0.437</v>
      </c>
      <c r="K37" s="483"/>
      <c r="L37" s="483"/>
      <c r="M37" s="483"/>
      <c r="N37" s="483"/>
      <c r="O37" s="483"/>
      <c r="P37" s="488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504"/>
      <c r="C38" s="484"/>
      <c r="D38" s="484"/>
      <c r="E38" s="484"/>
      <c r="F38" s="46" t="s">
        <v>79</v>
      </c>
      <c r="G38" s="47">
        <f t="shared" ref="G38" si="20">+E34</f>
        <v>0.53200000000000003</v>
      </c>
      <c r="H38" s="48"/>
      <c r="I38" s="49"/>
      <c r="J38" s="50">
        <v>0.434</v>
      </c>
      <c r="K38" s="484"/>
      <c r="L38" s="484"/>
      <c r="M38" s="484"/>
      <c r="N38" s="484"/>
      <c r="O38" s="484"/>
      <c r="P38" s="489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502">
        <v>5</v>
      </c>
      <c r="C39" s="505">
        <f>+C34+$N$12</f>
        <v>5.5</v>
      </c>
      <c r="D39" s="482">
        <v>0.83</v>
      </c>
      <c r="E39" s="482">
        <v>0.81</v>
      </c>
      <c r="F39" s="36" t="s">
        <v>75</v>
      </c>
      <c r="G39" s="37">
        <v>0</v>
      </c>
      <c r="H39" s="38"/>
      <c r="I39" s="39"/>
      <c r="J39" s="40"/>
      <c r="K39" s="482"/>
      <c r="L39" s="482"/>
      <c r="M39" s="482"/>
      <c r="N39" s="485"/>
      <c r="O39" s="486"/>
      <c r="P39" s="48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503"/>
      <c r="C40" s="483"/>
      <c r="D40" s="483"/>
      <c r="E40" s="483"/>
      <c r="F40" s="41" t="s">
        <v>76</v>
      </c>
      <c r="G40" s="42">
        <f t="shared" ref="G40" si="21">IF(E39&lt;0.125,"NA",IF(0.125&lt;=E39,(0.2*E39)))</f>
        <v>0.16200000000000003</v>
      </c>
      <c r="H40" s="43"/>
      <c r="I40" s="44"/>
      <c r="J40" s="45"/>
      <c r="K40" s="483"/>
      <c r="L40" s="483"/>
      <c r="M40" s="483"/>
      <c r="N40" s="483"/>
      <c r="O40" s="483"/>
      <c r="P40" s="488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503"/>
      <c r="C41" s="483"/>
      <c r="D41" s="483"/>
      <c r="E41" s="483"/>
      <c r="F41" s="41" t="s">
        <v>77</v>
      </c>
      <c r="G41" s="42">
        <f t="shared" ref="G41" si="22">+E39*0.4</f>
        <v>0.32400000000000007</v>
      </c>
      <c r="H41" s="43"/>
      <c r="I41" s="44"/>
      <c r="J41" s="45"/>
      <c r="K41" s="483"/>
      <c r="L41" s="483"/>
      <c r="M41" s="483"/>
      <c r="N41" s="483"/>
      <c r="O41" s="483"/>
      <c r="P41" s="488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503"/>
      <c r="C42" s="483"/>
      <c r="D42" s="483"/>
      <c r="E42" s="483"/>
      <c r="F42" s="41" t="s">
        <v>78</v>
      </c>
      <c r="G42" s="42">
        <f t="shared" ref="G42" si="23">IF(E39&lt;0.125,"NA",IF(0.125&lt;=E39,(0.8*E39)))</f>
        <v>0.64800000000000013</v>
      </c>
      <c r="H42" s="43"/>
      <c r="I42" s="44"/>
      <c r="J42" s="45"/>
      <c r="K42" s="483"/>
      <c r="L42" s="483"/>
      <c r="M42" s="483"/>
      <c r="N42" s="483"/>
      <c r="O42" s="483"/>
      <c r="P42" s="488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504"/>
      <c r="C43" s="484"/>
      <c r="D43" s="484"/>
      <c r="E43" s="484"/>
      <c r="F43" s="46" t="s">
        <v>79</v>
      </c>
      <c r="G43" s="47">
        <f t="shared" ref="G43" si="24">+E39</f>
        <v>0.81</v>
      </c>
      <c r="H43" s="48"/>
      <c r="I43" s="49"/>
      <c r="J43" s="50"/>
      <c r="K43" s="484"/>
      <c r="L43" s="484"/>
      <c r="M43" s="484"/>
      <c r="N43" s="484"/>
      <c r="O43" s="484"/>
      <c r="P43" s="489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502">
        <v>6</v>
      </c>
      <c r="C44" s="505">
        <f>+C39+$N$12</f>
        <v>6.5</v>
      </c>
      <c r="D44" s="482">
        <v>0.78</v>
      </c>
      <c r="E44" s="482">
        <v>0.747</v>
      </c>
      <c r="F44" s="36" t="s">
        <v>75</v>
      </c>
      <c r="G44" s="37">
        <v>0</v>
      </c>
      <c r="H44" s="38"/>
      <c r="I44" s="39"/>
      <c r="J44" s="40">
        <v>0.315</v>
      </c>
      <c r="K44" s="482">
        <f t="shared" ref="K44" si="25">+IF(E44&lt;=0.12,(J46),(IF(E44&lt;0.16,((J45+2*J46+J47)/4),IF(E44&gt;=0.16,((J44+3*J45+2*J46+3*J47+J48)/10)))))</f>
        <v>0.41170000000000001</v>
      </c>
      <c r="L44" s="482">
        <f>ROUND(+(D39+D44)/2*(C44-C39),3)</f>
        <v>0.80500000000000005</v>
      </c>
      <c r="M44" s="482">
        <f t="shared" ref="M44" si="26">ROUND(+K44*L44,4)</f>
        <v>0.33139999999999997</v>
      </c>
      <c r="N44" s="485">
        <f t="shared" ref="N44" si="27">ROUND(+M44/$M$103*100,2)</f>
        <v>12.17</v>
      </c>
      <c r="O44" s="486"/>
      <c r="P44" s="48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503"/>
      <c r="C45" s="483"/>
      <c r="D45" s="483"/>
      <c r="E45" s="483"/>
      <c r="F45" s="41" t="s">
        <v>76</v>
      </c>
      <c r="G45" s="42">
        <f t="shared" ref="G45" si="28">IF(E44&lt;0.125,"NA",IF(0.125&lt;=E44,(0.2*E44)))</f>
        <v>0.14940000000000001</v>
      </c>
      <c r="H45" s="43"/>
      <c r="I45" s="44"/>
      <c r="J45" s="45">
        <v>0.30299999999999999</v>
      </c>
      <c r="K45" s="483"/>
      <c r="L45" s="483"/>
      <c r="M45" s="483"/>
      <c r="N45" s="483"/>
      <c r="O45" s="483"/>
      <c r="P45" s="488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503"/>
      <c r="C46" s="483"/>
      <c r="D46" s="483"/>
      <c r="E46" s="483"/>
      <c r="F46" s="41" t="s">
        <v>77</v>
      </c>
      <c r="G46" s="42">
        <f t="shared" ref="G46" si="29">+E44*0.4</f>
        <v>0.29880000000000001</v>
      </c>
      <c r="H46" s="43"/>
      <c r="I46" s="44"/>
      <c r="J46" s="45">
        <v>0.46</v>
      </c>
      <c r="K46" s="483"/>
      <c r="L46" s="483"/>
      <c r="M46" s="483"/>
      <c r="N46" s="483"/>
      <c r="O46" s="483"/>
      <c r="P46" s="488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503"/>
      <c r="C47" s="483"/>
      <c r="D47" s="483"/>
      <c r="E47" s="483"/>
      <c r="F47" s="41" t="s">
        <v>78</v>
      </c>
      <c r="G47" s="42">
        <f t="shared" ref="G47" si="30">IF(E44&lt;0.125,"NA",IF(0.125&lt;=E44,(0.8*E44)))</f>
        <v>0.59760000000000002</v>
      </c>
      <c r="H47" s="43"/>
      <c r="I47" s="44"/>
      <c r="J47" s="45">
        <v>0.504</v>
      </c>
      <c r="K47" s="483"/>
      <c r="L47" s="483"/>
      <c r="M47" s="483"/>
      <c r="N47" s="483"/>
      <c r="O47" s="483"/>
      <c r="P47" s="488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504"/>
      <c r="C48" s="484"/>
      <c r="D48" s="484"/>
      <c r="E48" s="484"/>
      <c r="F48" s="46" t="s">
        <v>79</v>
      </c>
      <c r="G48" s="47">
        <f t="shared" ref="G48" si="31">+E44</f>
        <v>0.747</v>
      </c>
      <c r="H48" s="48"/>
      <c r="I48" s="49"/>
      <c r="J48" s="50">
        <v>0.46100000000000002</v>
      </c>
      <c r="K48" s="484"/>
      <c r="L48" s="484"/>
      <c r="M48" s="484"/>
      <c r="N48" s="484"/>
      <c r="O48" s="484"/>
      <c r="P48" s="489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502">
        <v>7</v>
      </c>
      <c r="C49" s="505">
        <f t="shared" ref="C49" si="32">+C44+$N$12</f>
        <v>7.5</v>
      </c>
      <c r="D49" s="482">
        <v>0.85</v>
      </c>
      <c r="E49" s="482">
        <v>0.79900000000000004</v>
      </c>
      <c r="F49" s="36" t="s">
        <v>75</v>
      </c>
      <c r="G49" s="37">
        <v>0</v>
      </c>
      <c r="H49" s="38"/>
      <c r="I49" s="39"/>
      <c r="J49" s="40">
        <v>0.221</v>
      </c>
      <c r="K49" s="482">
        <f t="shared" ref="K49" si="33">+IF(E49&lt;=0.12,(J51),(IF(E49&lt;0.16,((J50+2*J51+J52)/4),IF(E49&gt;=0.16,((J49+3*J50+2*J51+3*J52+J53)/10)))))</f>
        <v>0.51309999999999989</v>
      </c>
      <c r="L49" s="482">
        <f t="shared" ref="L49" si="34">ROUND(+(D44+D49)/2*(C49-C44),3)</f>
        <v>0.81499999999999995</v>
      </c>
      <c r="M49" s="482">
        <f t="shared" ref="M49" si="35">ROUND(+K49*L49,4)</f>
        <v>0.41820000000000002</v>
      </c>
      <c r="N49" s="485">
        <f t="shared" ref="N49" si="36">ROUND(+M49/$M$103*100,2)</f>
        <v>15.35</v>
      </c>
      <c r="O49" s="486"/>
      <c r="P49" s="48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503"/>
      <c r="C50" s="483"/>
      <c r="D50" s="483"/>
      <c r="E50" s="483"/>
      <c r="F50" s="41" t="s">
        <v>76</v>
      </c>
      <c r="G50" s="42">
        <f t="shared" ref="G50" si="37">IF(E49&lt;0.125,"NA",IF(0.125&lt;=E49,(0.2*E49)))</f>
        <v>0.15980000000000003</v>
      </c>
      <c r="H50" s="43"/>
      <c r="I50" s="44"/>
      <c r="J50" s="45">
        <v>0.38900000000000001</v>
      </c>
      <c r="K50" s="483"/>
      <c r="L50" s="483"/>
      <c r="M50" s="483"/>
      <c r="N50" s="483"/>
      <c r="O50" s="483"/>
      <c r="P50" s="488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503"/>
      <c r="C51" s="483"/>
      <c r="D51" s="483"/>
      <c r="E51" s="483"/>
      <c r="F51" s="41" t="s">
        <v>77</v>
      </c>
      <c r="G51" s="42">
        <f t="shared" ref="G51" si="38">+E49*0.4</f>
        <v>0.31960000000000005</v>
      </c>
      <c r="H51" s="43"/>
      <c r="I51" s="44"/>
      <c r="J51" s="45">
        <v>0.57599999999999996</v>
      </c>
      <c r="K51" s="483"/>
      <c r="L51" s="483"/>
      <c r="M51" s="483"/>
      <c r="N51" s="483"/>
      <c r="O51" s="483"/>
      <c r="P51" s="488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503"/>
      <c r="C52" s="483"/>
      <c r="D52" s="483"/>
      <c r="E52" s="483"/>
      <c r="F52" s="41" t="s">
        <v>78</v>
      </c>
      <c r="G52" s="42">
        <f t="shared" ref="G52" si="39">IF(E49&lt;0.125,"NA",IF(0.125&lt;=E49,(0.8*E49)))</f>
        <v>0.6392000000000001</v>
      </c>
      <c r="H52" s="43"/>
      <c r="I52" s="44"/>
      <c r="J52" s="45">
        <v>0.64400000000000002</v>
      </c>
      <c r="K52" s="483"/>
      <c r="L52" s="483"/>
      <c r="M52" s="483"/>
      <c r="N52" s="483"/>
      <c r="O52" s="483"/>
      <c r="P52" s="488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504"/>
      <c r="C53" s="484"/>
      <c r="D53" s="484"/>
      <c r="E53" s="484"/>
      <c r="F53" s="46" t="s">
        <v>79</v>
      </c>
      <c r="G53" s="47">
        <f t="shared" ref="G53" si="40">+E49</f>
        <v>0.79900000000000004</v>
      </c>
      <c r="H53" s="48"/>
      <c r="I53" s="49"/>
      <c r="J53" s="50">
        <v>0.65900000000000003</v>
      </c>
      <c r="K53" s="484"/>
      <c r="L53" s="484"/>
      <c r="M53" s="484"/>
      <c r="N53" s="484"/>
      <c r="O53" s="484"/>
      <c r="P53" s="489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502">
        <v>8</v>
      </c>
      <c r="C54" s="505">
        <f t="shared" ref="C54" si="41">+C49+$N$12</f>
        <v>8.5</v>
      </c>
      <c r="D54" s="482">
        <v>0.68</v>
      </c>
      <c r="E54" s="482">
        <v>0.79</v>
      </c>
      <c r="F54" s="36" t="s">
        <v>75</v>
      </c>
      <c r="G54" s="37">
        <v>0</v>
      </c>
      <c r="H54" s="38"/>
      <c r="I54" s="39"/>
      <c r="J54" s="40">
        <v>0.46500000000000002</v>
      </c>
      <c r="K54" s="482">
        <f t="shared" ref="K54" si="42">+IF(E54&lt;=0.12,(J56),(IF(E54&lt;0.16,((J55+2*J56+J57)/4),IF(E54&gt;=0.16,((J54+3*J55+2*J56+3*J57+J58)/10)))))</f>
        <v>0.60400000000000009</v>
      </c>
      <c r="L54" s="482">
        <f>ROUND(+(D49+D54)/2*(C54-C49),3)</f>
        <v>0.76500000000000001</v>
      </c>
      <c r="M54" s="482">
        <f t="shared" ref="M54" si="43">ROUND(+K54*L54,4)</f>
        <v>0.46210000000000001</v>
      </c>
      <c r="N54" s="485">
        <f t="shared" ref="N54" si="44">ROUND(+M54/$M$103*100,2)</f>
        <v>16.97</v>
      </c>
      <c r="O54" s="486"/>
      <c r="P54" s="48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503"/>
      <c r="C55" s="483"/>
      <c r="D55" s="483"/>
      <c r="E55" s="483"/>
      <c r="F55" s="41" t="s">
        <v>76</v>
      </c>
      <c r="G55" s="42">
        <f t="shared" ref="G55" si="45">IF(E54&lt;0.125,"NA",IF(0.125&lt;=E54,(0.2*E54)))</f>
        <v>0.15800000000000003</v>
      </c>
      <c r="H55" s="43"/>
      <c r="I55" s="44"/>
      <c r="J55" s="45">
        <v>0.498</v>
      </c>
      <c r="K55" s="483"/>
      <c r="L55" s="483"/>
      <c r="M55" s="483"/>
      <c r="N55" s="483"/>
      <c r="O55" s="483"/>
      <c r="P55" s="488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503"/>
      <c r="C56" s="483"/>
      <c r="D56" s="483"/>
      <c r="E56" s="483"/>
      <c r="F56" s="41" t="s">
        <v>77</v>
      </c>
      <c r="G56" s="42">
        <f t="shared" ref="G56" si="46">+E54*0.4</f>
        <v>0.31600000000000006</v>
      </c>
      <c r="H56" s="43"/>
      <c r="I56" s="44"/>
      <c r="J56" s="45">
        <v>0.63800000000000001</v>
      </c>
      <c r="K56" s="483"/>
      <c r="L56" s="483"/>
      <c r="M56" s="483"/>
      <c r="N56" s="483"/>
      <c r="O56" s="483"/>
      <c r="P56" s="488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503"/>
      <c r="C57" s="483"/>
      <c r="D57" s="483"/>
      <c r="E57" s="483"/>
      <c r="F57" s="41" t="s">
        <v>78</v>
      </c>
      <c r="G57" s="42">
        <f t="shared" ref="G57" si="47">IF(E54&lt;0.125,"NA",IF(0.125&lt;=E54,(0.8*E54)))</f>
        <v>0.63200000000000012</v>
      </c>
      <c r="H57" s="43"/>
      <c r="I57" s="44"/>
      <c r="J57" s="45">
        <v>0.69799999999999995</v>
      </c>
      <c r="K57" s="483"/>
      <c r="L57" s="483"/>
      <c r="M57" s="483"/>
      <c r="N57" s="483"/>
      <c r="O57" s="483"/>
      <c r="P57" s="488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504"/>
      <c r="C58" s="484"/>
      <c r="D58" s="484"/>
      <c r="E58" s="484"/>
      <c r="F58" s="46" t="s">
        <v>79</v>
      </c>
      <c r="G58" s="47">
        <f t="shared" ref="G58" si="48">+E54</f>
        <v>0.79</v>
      </c>
      <c r="H58" s="48"/>
      <c r="I58" s="49"/>
      <c r="J58" s="50">
        <v>0.71099999999999997</v>
      </c>
      <c r="K58" s="484"/>
      <c r="L58" s="484"/>
      <c r="M58" s="484"/>
      <c r="N58" s="484"/>
      <c r="O58" s="484"/>
      <c r="P58" s="489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502">
        <v>9</v>
      </c>
      <c r="C59" s="505">
        <f t="shared" ref="C59:C74" si="49">+C54+$N$12</f>
        <v>9.5</v>
      </c>
      <c r="D59" s="482">
        <v>0.3</v>
      </c>
      <c r="E59" s="482">
        <v>0.38600000000000001</v>
      </c>
      <c r="F59" s="36" t="s">
        <v>75</v>
      </c>
      <c r="G59" s="37">
        <v>0</v>
      </c>
      <c r="H59" s="38"/>
      <c r="I59" s="39"/>
      <c r="J59" s="40">
        <v>0.46</v>
      </c>
      <c r="K59" s="482">
        <f t="shared" ref="K59" si="50">+IF(E59&lt;=0.12,(J61),(IF(E59&lt;0.16,((J60+2*J61+J62)/4),IF(E59&gt;=0.16,((J59+3*J60+2*J61+3*J62+J63)/10)))))</f>
        <v>0.60680000000000001</v>
      </c>
      <c r="L59" s="482">
        <f>ROUND(+(D54+D59)/2*(C59-C54),3)</f>
        <v>0.49</v>
      </c>
      <c r="M59" s="482">
        <f t="shared" ref="M59" si="51">ROUND(+K59*L59,4)</f>
        <v>0.29730000000000001</v>
      </c>
      <c r="N59" s="485">
        <f t="shared" ref="N59" si="52">ROUND(+M59/$M$103*100,2)</f>
        <v>10.92</v>
      </c>
      <c r="O59" s="486"/>
      <c r="P59" s="48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503"/>
      <c r="C60" s="483"/>
      <c r="D60" s="483"/>
      <c r="E60" s="483"/>
      <c r="F60" s="41" t="s">
        <v>76</v>
      </c>
      <c r="G60" s="42">
        <f t="shared" ref="G60" si="53">IF(E59&lt;0.125,"NA",IF(0.125&lt;=E59,(0.2*E59)))</f>
        <v>7.7200000000000005E-2</v>
      </c>
      <c r="H60" s="43"/>
      <c r="I60" s="44"/>
      <c r="J60" s="45">
        <v>0.505</v>
      </c>
      <c r="K60" s="483"/>
      <c r="L60" s="483"/>
      <c r="M60" s="483"/>
      <c r="N60" s="483"/>
      <c r="O60" s="483"/>
      <c r="P60" s="488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503"/>
      <c r="C61" s="483"/>
      <c r="D61" s="483"/>
      <c r="E61" s="483"/>
      <c r="F61" s="41" t="s">
        <v>77</v>
      </c>
      <c r="G61" s="42">
        <f t="shared" ref="G61" si="54">+E59*0.4</f>
        <v>0.15440000000000001</v>
      </c>
      <c r="H61" s="43"/>
      <c r="I61" s="44"/>
      <c r="J61" s="45">
        <v>0.68100000000000005</v>
      </c>
      <c r="K61" s="483"/>
      <c r="L61" s="483"/>
      <c r="M61" s="483"/>
      <c r="N61" s="483"/>
      <c r="O61" s="483"/>
      <c r="P61" s="488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503"/>
      <c r="C62" s="483"/>
      <c r="D62" s="483"/>
      <c r="E62" s="483"/>
      <c r="F62" s="41" t="s">
        <v>78</v>
      </c>
      <c r="G62" s="42">
        <f t="shared" ref="G62" si="55">IF(E59&lt;0.125,"NA",IF(0.125&lt;=E59,(0.8*E59)))</f>
        <v>0.30880000000000002</v>
      </c>
      <c r="H62" s="43"/>
      <c r="I62" s="44"/>
      <c r="J62" s="45">
        <v>0.71099999999999997</v>
      </c>
      <c r="K62" s="483"/>
      <c r="L62" s="483"/>
      <c r="M62" s="483"/>
      <c r="N62" s="483"/>
      <c r="O62" s="483"/>
      <c r="P62" s="488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504"/>
      <c r="C63" s="484"/>
      <c r="D63" s="484"/>
      <c r="E63" s="484"/>
      <c r="F63" s="46" t="s">
        <v>79</v>
      </c>
      <c r="G63" s="47">
        <f t="shared" ref="G63" si="56">+E59</f>
        <v>0.38600000000000001</v>
      </c>
      <c r="H63" s="48"/>
      <c r="I63" s="49"/>
      <c r="J63" s="50">
        <v>0.59799999999999998</v>
      </c>
      <c r="K63" s="484"/>
      <c r="L63" s="484"/>
      <c r="M63" s="484"/>
      <c r="N63" s="484"/>
      <c r="O63" s="484"/>
      <c r="P63" s="489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502">
        <v>10</v>
      </c>
      <c r="C64" s="505">
        <f t="shared" si="49"/>
        <v>10.5</v>
      </c>
      <c r="D64" s="482">
        <v>0.28999999999999998</v>
      </c>
      <c r="E64" s="482">
        <v>0.308</v>
      </c>
      <c r="F64" s="36" t="s">
        <v>75</v>
      </c>
      <c r="G64" s="37">
        <v>0</v>
      </c>
      <c r="H64" s="38"/>
      <c r="I64" s="39"/>
      <c r="J64" s="40">
        <v>0.58899999999999997</v>
      </c>
      <c r="K64" s="482">
        <f t="shared" ref="K64" si="57">+IF(E64&lt;=0.12,(J66),(IF(E64&lt;0.16,((J65+2*J66+J67)/4),IF(E64&gt;=0.16,((J64+3*J65+2*J66+3*J67+J68)/10)))))</f>
        <v>0.64290000000000003</v>
      </c>
      <c r="L64" s="482">
        <f>ROUND(+(D59+D64)/2*(C64-C59),3)</f>
        <v>0.29499999999999998</v>
      </c>
      <c r="M64" s="482">
        <f t="shared" ref="M64" si="58">ROUND(+K64*L64,4)</f>
        <v>0.18970000000000001</v>
      </c>
      <c r="N64" s="485">
        <f t="shared" ref="N64" si="59">ROUND(+M64/$M$103*100,2)</f>
        <v>6.96</v>
      </c>
      <c r="O64" s="486"/>
      <c r="P64" s="48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503"/>
      <c r="C65" s="483"/>
      <c r="D65" s="483"/>
      <c r="E65" s="483"/>
      <c r="F65" s="41" t="s">
        <v>76</v>
      </c>
      <c r="G65" s="42">
        <f t="shared" ref="G65" si="60">IF(E64&lt;0.125,"NA",IF(0.125&lt;=E64,(0.2*E64)))</f>
        <v>6.1600000000000002E-2</v>
      </c>
      <c r="H65" s="43"/>
      <c r="I65" s="44"/>
      <c r="J65" s="45">
        <v>0.627</v>
      </c>
      <c r="K65" s="483"/>
      <c r="L65" s="483"/>
      <c r="M65" s="483"/>
      <c r="N65" s="483"/>
      <c r="O65" s="483"/>
      <c r="P65" s="488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503"/>
      <c r="C66" s="483"/>
      <c r="D66" s="483"/>
      <c r="E66" s="483"/>
      <c r="F66" s="41" t="s">
        <v>77</v>
      </c>
      <c r="G66" s="42">
        <f t="shared" ref="G66" si="61">+E64*0.4</f>
        <v>0.1232</v>
      </c>
      <c r="H66" s="43"/>
      <c r="I66" s="44"/>
      <c r="J66" s="45">
        <v>0.65900000000000003</v>
      </c>
      <c r="K66" s="483"/>
      <c r="L66" s="483"/>
      <c r="M66" s="483"/>
      <c r="N66" s="483"/>
      <c r="O66" s="483"/>
      <c r="P66" s="488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503"/>
      <c r="C67" s="483"/>
      <c r="D67" s="483"/>
      <c r="E67" s="483"/>
      <c r="F67" s="41" t="s">
        <v>78</v>
      </c>
      <c r="G67" s="42">
        <f t="shared" ref="G67" si="62">IF(E64&lt;0.125,"NA",IF(0.125&lt;=E64,(0.8*E64)))</f>
        <v>0.24640000000000001</v>
      </c>
      <c r="H67" s="43"/>
      <c r="I67" s="44"/>
      <c r="J67" s="45">
        <v>0.67500000000000004</v>
      </c>
      <c r="K67" s="483"/>
      <c r="L67" s="483"/>
      <c r="M67" s="483"/>
      <c r="N67" s="483"/>
      <c r="O67" s="483"/>
      <c r="P67" s="488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504"/>
      <c r="C68" s="484"/>
      <c r="D68" s="484"/>
      <c r="E68" s="484"/>
      <c r="F68" s="46" t="s">
        <v>79</v>
      </c>
      <c r="G68" s="47">
        <f t="shared" ref="G68" si="63">+E64</f>
        <v>0.308</v>
      </c>
      <c r="H68" s="48"/>
      <c r="I68" s="49"/>
      <c r="J68" s="50">
        <v>0.61599999999999999</v>
      </c>
      <c r="K68" s="484"/>
      <c r="L68" s="484"/>
      <c r="M68" s="484"/>
      <c r="N68" s="484"/>
      <c r="O68" s="484"/>
      <c r="P68" s="489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502">
        <v>11</v>
      </c>
      <c r="C69" s="505">
        <f t="shared" si="49"/>
        <v>11.5</v>
      </c>
      <c r="D69" s="482">
        <v>0.33</v>
      </c>
      <c r="E69" s="482">
        <v>0.32600000000000001</v>
      </c>
      <c r="F69" s="36" t="s">
        <v>75</v>
      </c>
      <c r="G69" s="37">
        <v>0</v>
      </c>
      <c r="H69" s="38"/>
      <c r="I69" s="39"/>
      <c r="J69" s="40">
        <v>0.185</v>
      </c>
      <c r="K69" s="482">
        <f t="shared" ref="K69" si="64">+IF(E69&lt;=0.12,(J71),(IF(E69&lt;0.16,((J70+2*J71+J72)/4),IF(E69&gt;=0.16,((J69+3*J70+2*J71+3*J72+J73)/10)))))</f>
        <v>0.47689999999999999</v>
      </c>
      <c r="L69" s="482">
        <f>ROUND(+(D64+D69)/2*(C69-C64),3)</f>
        <v>0.31</v>
      </c>
      <c r="M69" s="482">
        <f t="shared" ref="M69" si="65">ROUND(+K69*L69,4)</f>
        <v>0.14779999999999999</v>
      </c>
      <c r="N69" s="485">
        <f t="shared" ref="N69" si="66">ROUND(+M69/$M$103*100,2)</f>
        <v>5.43</v>
      </c>
      <c r="O69" s="486"/>
      <c r="P69" s="48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503"/>
      <c r="C70" s="483"/>
      <c r="D70" s="483"/>
      <c r="E70" s="483"/>
      <c r="F70" s="41" t="s">
        <v>76</v>
      </c>
      <c r="G70" s="42">
        <f t="shared" ref="G70" si="67">IF(E69&lt;0.125,"NA",IF(0.125&lt;=E69,(0.2*E69)))</f>
        <v>6.5200000000000008E-2</v>
      </c>
      <c r="H70" s="43"/>
      <c r="I70" s="44"/>
      <c r="J70" s="45">
        <v>0.26200000000000001</v>
      </c>
      <c r="K70" s="483"/>
      <c r="L70" s="483"/>
      <c r="M70" s="483"/>
      <c r="N70" s="483"/>
      <c r="O70" s="483"/>
      <c r="P70" s="488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503"/>
      <c r="C71" s="483"/>
      <c r="D71" s="483"/>
      <c r="E71" s="483"/>
      <c r="F71" s="41" t="s">
        <v>77</v>
      </c>
      <c r="G71" s="42">
        <f t="shared" ref="G71" si="68">+E69*0.4</f>
        <v>0.13040000000000002</v>
      </c>
      <c r="H71" s="43"/>
      <c r="I71" s="44"/>
      <c r="J71" s="45">
        <v>0.64600000000000002</v>
      </c>
      <c r="K71" s="483"/>
      <c r="L71" s="483"/>
      <c r="M71" s="483"/>
      <c r="N71" s="483"/>
      <c r="O71" s="483"/>
      <c r="P71" s="488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503"/>
      <c r="C72" s="483"/>
      <c r="D72" s="483"/>
      <c r="E72" s="483"/>
      <c r="F72" s="41" t="s">
        <v>78</v>
      </c>
      <c r="G72" s="42">
        <f t="shared" ref="G72" si="69">IF(E69&lt;0.125,"NA",IF(0.125&lt;=E69,(0.8*E69)))</f>
        <v>0.26080000000000003</v>
      </c>
      <c r="H72" s="43"/>
      <c r="I72" s="44"/>
      <c r="J72" s="45">
        <v>0.63900000000000001</v>
      </c>
      <c r="K72" s="483"/>
      <c r="L72" s="483"/>
      <c r="M72" s="483"/>
      <c r="N72" s="483"/>
      <c r="O72" s="483"/>
      <c r="P72" s="488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504"/>
      <c r="C73" s="484"/>
      <c r="D73" s="484"/>
      <c r="E73" s="484"/>
      <c r="F73" s="46" t="s">
        <v>79</v>
      </c>
      <c r="G73" s="47">
        <f t="shared" ref="G73" si="70">+E69</f>
        <v>0.32600000000000001</v>
      </c>
      <c r="H73" s="48"/>
      <c r="I73" s="49"/>
      <c r="J73" s="50">
        <v>0.58899999999999997</v>
      </c>
      <c r="K73" s="484"/>
      <c r="L73" s="484"/>
      <c r="M73" s="484"/>
      <c r="N73" s="484"/>
      <c r="O73" s="484"/>
      <c r="P73" s="489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502">
        <v>12</v>
      </c>
      <c r="C74" s="505">
        <f t="shared" si="49"/>
        <v>12.5</v>
      </c>
      <c r="D74" s="482">
        <v>0.12</v>
      </c>
      <c r="E74" s="482">
        <v>0.17699999999999999</v>
      </c>
      <c r="F74" s="36" t="s">
        <v>75</v>
      </c>
      <c r="G74" s="37">
        <v>0</v>
      </c>
      <c r="H74" s="38"/>
      <c r="I74" s="39"/>
      <c r="J74" s="40">
        <v>0.45</v>
      </c>
      <c r="K74" s="482">
        <f t="shared" ref="K74" si="71">+IF(E74&lt;=0.12,(J76),(IF(E74&lt;0.16,((J75+2*J76+J77)/4),IF(E74&gt;=0.16,((J74+3*J75+2*J76+3*J77+J78)/10)))))</f>
        <v>0.51719999999999999</v>
      </c>
      <c r="L74" s="482">
        <f>ROUND(+(D69+D74)/2*(C74-C69),3)</f>
        <v>0.22500000000000001</v>
      </c>
      <c r="M74" s="482">
        <f t="shared" ref="M74" si="72">ROUND(+K74*L74,4)</f>
        <v>0.1164</v>
      </c>
      <c r="N74" s="485">
        <f t="shared" ref="N74" si="73">ROUND(+M74/$M$103*100,2)</f>
        <v>4.2699999999999996</v>
      </c>
      <c r="O74" s="486"/>
      <c r="P74" s="48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503"/>
      <c r="C75" s="483"/>
      <c r="D75" s="483"/>
      <c r="E75" s="483"/>
      <c r="F75" s="41" t="s">
        <v>76</v>
      </c>
      <c r="G75" s="42">
        <f t="shared" ref="G75" si="74">IF(E74&lt;0.125,"NA",IF(0.125&lt;=E74,(0.2*E74)))</f>
        <v>3.5400000000000001E-2</v>
      </c>
      <c r="H75" s="43"/>
      <c r="I75" s="44"/>
      <c r="J75" s="45">
        <v>0.48399999999999999</v>
      </c>
      <c r="K75" s="483"/>
      <c r="L75" s="483"/>
      <c r="M75" s="483"/>
      <c r="N75" s="483"/>
      <c r="O75" s="483"/>
      <c r="P75" s="488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503"/>
      <c r="C76" s="483"/>
      <c r="D76" s="483"/>
      <c r="E76" s="483"/>
      <c r="F76" s="41" t="s">
        <v>77</v>
      </c>
      <c r="G76" s="42">
        <f t="shared" ref="G76" si="75">+E74*0.4</f>
        <v>7.0800000000000002E-2</v>
      </c>
      <c r="H76" s="43"/>
      <c r="I76" s="44"/>
      <c r="J76" s="45">
        <v>0.52600000000000002</v>
      </c>
      <c r="K76" s="483"/>
      <c r="L76" s="483"/>
      <c r="M76" s="483"/>
      <c r="N76" s="483"/>
      <c r="O76" s="483"/>
      <c r="P76" s="488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503"/>
      <c r="C77" s="483"/>
      <c r="D77" s="483"/>
      <c r="E77" s="483"/>
      <c r="F77" s="41" t="s">
        <v>78</v>
      </c>
      <c r="G77" s="42">
        <f t="shared" ref="G77" si="76">IF(E74&lt;0.125,"NA",IF(0.125&lt;=E74,(0.8*E74)))</f>
        <v>0.1416</v>
      </c>
      <c r="H77" s="43"/>
      <c r="I77" s="44"/>
      <c r="J77" s="45">
        <v>0.56799999999999995</v>
      </c>
      <c r="K77" s="483"/>
      <c r="L77" s="483"/>
      <c r="M77" s="483"/>
      <c r="N77" s="483"/>
      <c r="O77" s="483"/>
      <c r="P77" s="488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504"/>
      <c r="C78" s="484"/>
      <c r="D78" s="484"/>
      <c r="E78" s="484"/>
      <c r="F78" s="46" t="s">
        <v>79</v>
      </c>
      <c r="G78" s="47">
        <f t="shared" ref="G78" si="77">+E74</f>
        <v>0.17699999999999999</v>
      </c>
      <c r="H78" s="48"/>
      <c r="I78" s="49"/>
      <c r="J78" s="50">
        <v>0.51400000000000001</v>
      </c>
      <c r="K78" s="484"/>
      <c r="L78" s="484"/>
      <c r="M78" s="484"/>
      <c r="N78" s="484"/>
      <c r="O78" s="484"/>
      <c r="P78" s="489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502">
        <v>13</v>
      </c>
      <c r="C79" s="505">
        <f>+C74+1.4</f>
        <v>13.9</v>
      </c>
      <c r="D79" s="482">
        <v>0</v>
      </c>
      <c r="E79" s="482">
        <v>7.4999999999999997E-2</v>
      </c>
      <c r="F79" s="36" t="s">
        <v>75</v>
      </c>
      <c r="G79" s="37">
        <v>0</v>
      </c>
      <c r="H79" s="38"/>
      <c r="I79" s="39"/>
      <c r="J79" s="40">
        <v>0.14599999999999999</v>
      </c>
      <c r="K79" s="482">
        <f t="shared" ref="K79" si="78">+IF(E79&lt;=0.12,(J81),(IF(E79&lt;0.16,((J80+2*J81+J82)/4),IF(E79&gt;=0.16,((J79+3*J80+2*J81+3*J82+J83)/10)))))</f>
        <v>0.27400000000000002</v>
      </c>
      <c r="L79" s="482">
        <f>ROUND(+(D74+D79)/2*(C79-C74),3)</f>
        <v>8.4000000000000005E-2</v>
      </c>
      <c r="M79" s="482">
        <f t="shared" ref="M79" si="79">ROUND(+K79*L79,4)</f>
        <v>2.3E-2</v>
      </c>
      <c r="N79" s="485">
        <f t="shared" ref="N79" si="80">ROUND(+M79/$M$103*100,2)</f>
        <v>0.84</v>
      </c>
      <c r="O79" s="486"/>
      <c r="P79" s="48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503"/>
      <c r="C80" s="483"/>
      <c r="D80" s="483"/>
      <c r="E80" s="483"/>
      <c r="F80" s="41" t="s">
        <v>76</v>
      </c>
      <c r="G80" s="42" t="str">
        <f t="shared" ref="G80" si="81">IF(E79&lt;0.125,"NA",IF(0.125&lt;=E79,(0.2*E79)))</f>
        <v>NA</v>
      </c>
      <c r="H80" s="43"/>
      <c r="I80" s="44"/>
      <c r="J80" s="45"/>
      <c r="K80" s="483"/>
      <c r="L80" s="483"/>
      <c r="M80" s="483"/>
      <c r="N80" s="483"/>
      <c r="O80" s="483"/>
      <c r="P80" s="488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503"/>
      <c r="C81" s="483"/>
      <c r="D81" s="483"/>
      <c r="E81" s="483"/>
      <c r="F81" s="41" t="s">
        <v>77</v>
      </c>
      <c r="G81" s="42">
        <f t="shared" ref="G81" si="82">+E79*0.4</f>
        <v>0.03</v>
      </c>
      <c r="H81" s="43"/>
      <c r="I81" s="44"/>
      <c r="J81" s="45">
        <v>0.27400000000000002</v>
      </c>
      <c r="K81" s="483"/>
      <c r="L81" s="483"/>
      <c r="M81" s="483"/>
      <c r="N81" s="483"/>
      <c r="O81" s="483"/>
      <c r="P81" s="488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503"/>
      <c r="C82" s="483"/>
      <c r="D82" s="483"/>
      <c r="E82" s="483"/>
      <c r="F82" s="41" t="s">
        <v>78</v>
      </c>
      <c r="G82" s="42" t="str">
        <f t="shared" ref="G82" si="83">IF(E79&lt;0.125,"NA",IF(0.125&lt;=E79,(0.8*E79)))</f>
        <v>NA</v>
      </c>
      <c r="H82" s="43"/>
      <c r="I82" s="44"/>
      <c r="J82" s="45"/>
      <c r="K82" s="483"/>
      <c r="L82" s="483"/>
      <c r="M82" s="483"/>
      <c r="N82" s="483"/>
      <c r="O82" s="483"/>
      <c r="P82" s="488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504"/>
      <c r="C83" s="484"/>
      <c r="D83" s="484"/>
      <c r="E83" s="484"/>
      <c r="F83" s="46" t="s">
        <v>79</v>
      </c>
      <c r="G83" s="47">
        <f t="shared" ref="G83" si="84">+E79</f>
        <v>7.4999999999999997E-2</v>
      </c>
      <c r="H83" s="48"/>
      <c r="I83" s="49"/>
      <c r="J83" s="50">
        <v>0.30199999999999999</v>
      </c>
      <c r="K83" s="484"/>
      <c r="L83" s="484"/>
      <c r="M83" s="484"/>
      <c r="N83" s="484"/>
      <c r="O83" s="484"/>
      <c r="P83" s="489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" customFormat="1" ht="13.5" customHeight="1" x14ac:dyDescent="0.2">
      <c r="B84" s="490" t="s">
        <v>28</v>
      </c>
      <c r="C84" s="493"/>
      <c r="D84" s="494"/>
      <c r="E84" s="494"/>
      <c r="F84" s="494"/>
      <c r="G84" s="494"/>
      <c r="H84" s="494"/>
      <c r="I84" s="494"/>
      <c r="J84" s="494"/>
      <c r="K84" s="494"/>
      <c r="L84" s="494"/>
      <c r="M84" s="494"/>
      <c r="N84" s="494"/>
      <c r="O84" s="494"/>
      <c r="P84" s="495"/>
    </row>
    <row r="85" spans="1:26" s="3" customFormat="1" ht="14.1" customHeight="1" x14ac:dyDescent="0.2">
      <c r="B85" s="491"/>
      <c r="C85" s="496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8"/>
    </row>
    <row r="86" spans="1:26" s="3" customFormat="1" ht="14.1" customHeight="1" x14ac:dyDescent="0.2">
      <c r="B86" s="491"/>
      <c r="C86" s="496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8"/>
    </row>
    <row r="87" spans="1:26" s="3" customFormat="1" ht="14.1" customHeight="1" x14ac:dyDescent="0.2">
      <c r="B87" s="491"/>
      <c r="C87" s="496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8"/>
    </row>
    <row r="88" spans="1:26" s="3" customFormat="1" ht="14.1" customHeight="1" x14ac:dyDescent="0.2">
      <c r="B88" s="491"/>
      <c r="C88" s="496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8"/>
    </row>
    <row r="89" spans="1:26" s="3" customFormat="1" ht="14.1" customHeight="1" thickBot="1" x14ac:dyDescent="0.25">
      <c r="B89" s="492"/>
      <c r="C89" s="499"/>
      <c r="D89" s="500"/>
      <c r="E89" s="500"/>
      <c r="F89" s="500"/>
      <c r="G89" s="500"/>
      <c r="H89" s="500"/>
      <c r="I89" s="500"/>
      <c r="J89" s="500"/>
      <c r="K89" s="500"/>
      <c r="L89" s="500"/>
      <c r="M89" s="500"/>
      <c r="N89" s="500"/>
      <c r="O89" s="500"/>
      <c r="P89" s="501"/>
    </row>
    <row r="90" spans="1:26" s="3" customFormat="1" ht="28.5" customHeight="1" thickBot="1" x14ac:dyDescent="0.25">
      <c r="A90" s="51"/>
      <c r="B90" s="52" t="s">
        <v>80</v>
      </c>
      <c r="C90" s="469" t="s">
        <v>81</v>
      </c>
      <c r="D90" s="469"/>
      <c r="E90" s="469"/>
      <c r="F90" s="469"/>
      <c r="G90" s="469"/>
      <c r="H90" s="470"/>
      <c r="I90" s="471"/>
      <c r="J90" s="52" t="s">
        <v>82</v>
      </c>
      <c r="K90" s="469" t="s">
        <v>83</v>
      </c>
      <c r="L90" s="469"/>
      <c r="M90" s="469"/>
      <c r="N90" s="469"/>
      <c r="O90" s="469"/>
      <c r="P90" s="470"/>
    </row>
    <row r="91" spans="1:26" s="3" customFormat="1" ht="28.5" customHeight="1" thickBot="1" x14ac:dyDescent="0.25">
      <c r="B91" s="53" t="s">
        <v>84</v>
      </c>
      <c r="C91" s="473" t="s">
        <v>85</v>
      </c>
      <c r="D91" s="473"/>
      <c r="E91" s="473"/>
      <c r="F91" s="473"/>
      <c r="G91" s="473"/>
      <c r="H91" s="474"/>
      <c r="I91" s="472"/>
      <c r="J91" s="53" t="s">
        <v>86</v>
      </c>
      <c r="K91" s="473" t="s">
        <v>87</v>
      </c>
      <c r="L91" s="473"/>
      <c r="M91" s="473"/>
      <c r="N91" s="473"/>
      <c r="O91" s="473"/>
      <c r="P91" s="474"/>
    </row>
    <row r="92" spans="1:26" s="91" customFormat="1" ht="13.5" customHeight="1" x14ac:dyDescent="0.25">
      <c r="A92" s="54"/>
      <c r="B92" s="475">
        <v>5</v>
      </c>
      <c r="C92" s="478">
        <f>C39-($N$12/2)</f>
        <v>5</v>
      </c>
      <c r="D92" s="480">
        <f>D34</f>
        <v>0.77</v>
      </c>
      <c r="E92" s="480">
        <v>0.81</v>
      </c>
      <c r="F92" s="55" t="s">
        <v>75</v>
      </c>
      <c r="G92" s="55">
        <v>0.01</v>
      </c>
      <c r="H92" s="56"/>
      <c r="I92" s="57"/>
      <c r="J92" s="58">
        <v>0.13400000000000001</v>
      </c>
      <c r="K92" s="481">
        <f>+AVERAGE(J92:J102)</f>
        <v>0.33718181818181814</v>
      </c>
      <c r="L92" s="460">
        <f>ROUND(+(D92+D97)/2*(C97-C92),3)</f>
        <v>0.8</v>
      </c>
      <c r="M92" s="463">
        <f>ROUND(+K92*L92,4)</f>
        <v>0.2697</v>
      </c>
      <c r="N92" s="460">
        <f>ROUND(+M92/$M$103*100,2)</f>
        <v>9.9</v>
      </c>
      <c r="O92" s="460"/>
      <c r="P92" s="464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91" customFormat="1" ht="13.5" customHeight="1" x14ac:dyDescent="0.25">
      <c r="A93" s="54"/>
      <c r="B93" s="476"/>
      <c r="C93" s="461"/>
      <c r="D93" s="461"/>
      <c r="E93" s="461"/>
      <c r="F93" s="60" t="s">
        <v>88</v>
      </c>
      <c r="G93" s="61">
        <f>+E92*0.1</f>
        <v>8.1000000000000016E-2</v>
      </c>
      <c r="H93" s="62"/>
      <c r="I93" s="63"/>
      <c r="J93" s="64">
        <v>0.17499999999999999</v>
      </c>
      <c r="K93" s="461"/>
      <c r="L93" s="461"/>
      <c r="M93" s="461"/>
      <c r="N93" s="461"/>
      <c r="O93" s="461"/>
      <c r="P93" s="465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s="91" customFormat="1" ht="13.5" customHeight="1" x14ac:dyDescent="0.25">
      <c r="A94" s="54"/>
      <c r="B94" s="476"/>
      <c r="C94" s="461"/>
      <c r="D94" s="461"/>
      <c r="E94" s="461"/>
      <c r="F94" s="60" t="s">
        <v>89</v>
      </c>
      <c r="G94" s="61">
        <f>+E92*0.2</f>
        <v>0.16200000000000003</v>
      </c>
      <c r="H94" s="62"/>
      <c r="I94" s="63"/>
      <c r="J94" s="64">
        <v>0.19900000000000001</v>
      </c>
      <c r="K94" s="461"/>
      <c r="L94" s="461"/>
      <c r="M94" s="461"/>
      <c r="N94" s="461"/>
      <c r="O94" s="461"/>
      <c r="P94" s="465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s="91" customFormat="1" ht="13.5" customHeight="1" x14ac:dyDescent="0.25">
      <c r="A95" s="54"/>
      <c r="B95" s="476"/>
      <c r="C95" s="461"/>
      <c r="D95" s="461"/>
      <c r="E95" s="461"/>
      <c r="F95" s="60" t="s">
        <v>90</v>
      </c>
      <c r="G95" s="61">
        <f>+E92*0.3</f>
        <v>0.24299999999999999</v>
      </c>
      <c r="H95" s="62"/>
      <c r="I95" s="63"/>
      <c r="J95" s="64">
        <v>0.28999999999999998</v>
      </c>
      <c r="K95" s="461"/>
      <c r="L95" s="461"/>
      <c r="M95" s="461"/>
      <c r="N95" s="461"/>
      <c r="O95" s="461"/>
      <c r="P95" s="465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s="91" customFormat="1" ht="13.5" customHeight="1" x14ac:dyDescent="0.25">
      <c r="A96" s="54"/>
      <c r="B96" s="476"/>
      <c r="C96" s="479"/>
      <c r="D96" s="479"/>
      <c r="E96" s="461"/>
      <c r="F96" s="60" t="s">
        <v>91</v>
      </c>
      <c r="G96" s="61">
        <f>+E92*0.4</f>
        <v>0.32400000000000007</v>
      </c>
      <c r="H96" s="62"/>
      <c r="I96" s="63"/>
      <c r="J96" s="64">
        <v>0.33400000000000002</v>
      </c>
      <c r="K96" s="461"/>
      <c r="L96" s="461"/>
      <c r="M96" s="461"/>
      <c r="N96" s="461"/>
      <c r="O96" s="461"/>
      <c r="P96" s="465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s="91" customFormat="1" ht="13.5" customHeight="1" x14ac:dyDescent="0.25">
      <c r="A97" s="54"/>
      <c r="B97" s="476"/>
      <c r="C97" s="467">
        <f>C39+($N$12/2)</f>
        <v>6</v>
      </c>
      <c r="D97" s="468">
        <f>D39</f>
        <v>0.83</v>
      </c>
      <c r="E97" s="461"/>
      <c r="F97" s="60" t="s">
        <v>29</v>
      </c>
      <c r="G97" s="61">
        <f>+E92*0.5</f>
        <v>0.40500000000000003</v>
      </c>
      <c r="H97" s="62"/>
      <c r="I97" s="63"/>
      <c r="J97" s="64">
        <v>0.39100000000000001</v>
      </c>
      <c r="K97" s="461"/>
      <c r="L97" s="461"/>
      <c r="M97" s="461"/>
      <c r="N97" s="461"/>
      <c r="O97" s="461"/>
      <c r="P97" s="465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s="91" customFormat="1" ht="13.5" customHeight="1" x14ac:dyDescent="0.25">
      <c r="A98" s="54"/>
      <c r="B98" s="476"/>
      <c r="C98" s="461"/>
      <c r="D98" s="461"/>
      <c r="E98" s="461"/>
      <c r="F98" s="60" t="s">
        <v>92</v>
      </c>
      <c r="G98" s="61">
        <f>+E92*0.6</f>
        <v>0.48599999999999999</v>
      </c>
      <c r="H98" s="62"/>
      <c r="I98" s="63"/>
      <c r="J98" s="64">
        <v>0.42399999999999999</v>
      </c>
      <c r="K98" s="461"/>
      <c r="L98" s="461"/>
      <c r="M98" s="461"/>
      <c r="N98" s="461"/>
      <c r="O98" s="461"/>
      <c r="P98" s="465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s="91" customFormat="1" ht="13.5" customHeight="1" x14ac:dyDescent="0.25">
      <c r="A99" s="54"/>
      <c r="B99" s="476"/>
      <c r="C99" s="461"/>
      <c r="D99" s="461"/>
      <c r="E99" s="461"/>
      <c r="F99" s="60" t="s">
        <v>93</v>
      </c>
      <c r="G99" s="61">
        <f>+E92*0.7</f>
        <v>0.56699999999999995</v>
      </c>
      <c r="H99" s="62"/>
      <c r="I99" s="63"/>
      <c r="J99" s="64">
        <v>0.45500000000000002</v>
      </c>
      <c r="K99" s="461"/>
      <c r="L99" s="461"/>
      <c r="M99" s="461"/>
      <c r="N99" s="461"/>
      <c r="O99" s="461"/>
      <c r="P99" s="465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s="91" customFormat="1" ht="13.5" customHeight="1" x14ac:dyDescent="0.25">
      <c r="A100" s="54"/>
      <c r="B100" s="476"/>
      <c r="C100" s="461"/>
      <c r="D100" s="461"/>
      <c r="E100" s="461"/>
      <c r="F100" s="60" t="s">
        <v>94</v>
      </c>
      <c r="G100" s="61">
        <f>+E92*0.8</f>
        <v>0.64800000000000013</v>
      </c>
      <c r="H100" s="62"/>
      <c r="I100" s="63"/>
      <c r="J100" s="64">
        <v>0.44900000000000001</v>
      </c>
      <c r="K100" s="461"/>
      <c r="L100" s="461"/>
      <c r="M100" s="461"/>
      <c r="N100" s="461"/>
      <c r="O100" s="461"/>
      <c r="P100" s="465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s="91" customFormat="1" ht="13.5" customHeight="1" x14ac:dyDescent="0.25">
      <c r="A101" s="54"/>
      <c r="B101" s="476"/>
      <c r="C101" s="461"/>
      <c r="D101" s="461"/>
      <c r="E101" s="461"/>
      <c r="F101" s="60" t="s">
        <v>95</v>
      </c>
      <c r="G101" s="61">
        <f>+E92*0.9</f>
        <v>0.72900000000000009</v>
      </c>
      <c r="H101" s="62"/>
      <c r="I101" s="63"/>
      <c r="J101" s="64">
        <v>0.45700000000000002</v>
      </c>
      <c r="K101" s="461"/>
      <c r="L101" s="461"/>
      <c r="M101" s="461"/>
      <c r="N101" s="461"/>
      <c r="O101" s="461"/>
      <c r="P101" s="465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s="91" customFormat="1" ht="15.75" thickBot="1" x14ac:dyDescent="0.3">
      <c r="A102" s="54"/>
      <c r="B102" s="477"/>
      <c r="C102" s="462"/>
      <c r="D102" s="462"/>
      <c r="E102" s="462"/>
      <c r="F102" s="65" t="s">
        <v>30</v>
      </c>
      <c r="G102" s="65">
        <f>+E92</f>
        <v>0.81</v>
      </c>
      <c r="H102" s="66"/>
      <c r="I102" s="67"/>
      <c r="J102" s="68">
        <v>0.40100000000000002</v>
      </c>
      <c r="K102" s="462"/>
      <c r="L102" s="462"/>
      <c r="M102" s="462"/>
      <c r="N102" s="462"/>
      <c r="O102" s="462"/>
      <c r="P102" s="466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s="3" customFormat="1" ht="12.75" x14ac:dyDescent="0.2">
      <c r="A103" s="8"/>
      <c r="B103" s="448" t="s">
        <v>104</v>
      </c>
      <c r="C103" s="448"/>
      <c r="D103" s="448"/>
      <c r="E103" s="448"/>
      <c r="F103" s="448"/>
      <c r="G103" s="448"/>
      <c r="H103" s="448"/>
      <c r="I103" s="448"/>
      <c r="J103" s="448"/>
      <c r="K103" s="13">
        <f>ROUND(+M103/L103,3)</f>
        <v>0.45100000000000001</v>
      </c>
      <c r="L103" s="12">
        <f>SUM(L19:L102)</f>
        <v>6.0389999999999988</v>
      </c>
      <c r="M103" s="11">
        <f>SUM(M19:M102)</f>
        <v>2.7237000000000005</v>
      </c>
      <c r="N103" s="9">
        <f>ROUND(SUM(N19:N102),0)</f>
        <v>100</v>
      </c>
      <c r="O103" s="450" t="s">
        <v>31</v>
      </c>
      <c r="P103" s="452"/>
    </row>
    <row r="104" spans="1:26" s="3" customFormat="1" ht="15" customHeight="1" thickBot="1" x14ac:dyDescent="0.25">
      <c r="A104" s="8"/>
      <c r="B104" s="449"/>
      <c r="C104" s="449"/>
      <c r="D104" s="449"/>
      <c r="E104" s="449"/>
      <c r="F104" s="449"/>
      <c r="G104" s="449"/>
      <c r="H104" s="449"/>
      <c r="I104" s="449"/>
      <c r="J104" s="449"/>
      <c r="K104" s="10" t="s">
        <v>32</v>
      </c>
      <c r="L104" s="10" t="s">
        <v>48</v>
      </c>
      <c r="M104" s="10" t="s">
        <v>100</v>
      </c>
      <c r="N104" s="10" t="s">
        <v>33</v>
      </c>
      <c r="O104" s="451"/>
      <c r="P104" s="453"/>
    </row>
    <row r="105" spans="1:26" ht="15" customHeight="1" thickBot="1" x14ac:dyDescent="0.3">
      <c r="A105" s="93"/>
      <c r="B105" s="454" t="s">
        <v>96</v>
      </c>
      <c r="C105" s="455"/>
      <c r="D105" s="455"/>
      <c r="E105" s="455"/>
      <c r="F105" s="456"/>
      <c r="G105" s="454" t="s">
        <v>97</v>
      </c>
      <c r="H105" s="455"/>
      <c r="I105" s="455"/>
      <c r="J105" s="455"/>
      <c r="K105" s="456"/>
      <c r="L105" s="457" t="s">
        <v>49</v>
      </c>
      <c r="M105" s="458"/>
      <c r="N105" s="458"/>
      <c r="O105" s="458"/>
      <c r="P105" s="459"/>
    </row>
    <row r="106" spans="1:26" ht="15" customHeight="1" x14ac:dyDescent="0.25">
      <c r="A106" s="93"/>
      <c r="B106" s="418"/>
      <c r="C106" s="419"/>
      <c r="D106" s="419"/>
      <c r="E106" s="419"/>
      <c r="F106" s="420"/>
      <c r="G106" s="418"/>
      <c r="H106" s="419"/>
      <c r="I106" s="419"/>
      <c r="J106" s="419"/>
      <c r="K106" s="420"/>
      <c r="L106" s="427" t="s">
        <v>98</v>
      </c>
      <c r="M106" s="428"/>
      <c r="N106" s="428"/>
      <c r="O106" s="429">
        <f>+AVERAGE(E18:E83)</f>
        <v>0.44284615384615378</v>
      </c>
      <c r="P106" s="430"/>
    </row>
    <row r="107" spans="1:26" ht="15" customHeight="1" thickBot="1" x14ac:dyDescent="0.3">
      <c r="A107" s="93"/>
      <c r="B107" s="421"/>
      <c r="C107" s="422"/>
      <c r="D107" s="422"/>
      <c r="E107" s="422"/>
      <c r="F107" s="423"/>
      <c r="G107" s="421"/>
      <c r="H107" s="422"/>
      <c r="I107" s="422"/>
      <c r="J107" s="422"/>
      <c r="K107" s="423"/>
      <c r="L107" s="431" t="s">
        <v>99</v>
      </c>
      <c r="M107" s="432"/>
      <c r="N107" s="432"/>
      <c r="O107" s="433">
        <f>MAX(E18:E83)</f>
        <v>0.81</v>
      </c>
      <c r="P107" s="434"/>
    </row>
    <row r="108" spans="1:26" ht="18.600000000000001" customHeight="1" x14ac:dyDescent="0.25">
      <c r="A108" s="94"/>
      <c r="B108" s="421"/>
      <c r="C108" s="422"/>
      <c r="D108" s="422"/>
      <c r="E108" s="422"/>
      <c r="F108" s="423"/>
      <c r="G108" s="421"/>
      <c r="H108" s="422"/>
      <c r="I108" s="422"/>
      <c r="J108" s="422"/>
      <c r="K108" s="423"/>
      <c r="L108" s="435"/>
      <c r="M108" s="436"/>
      <c r="N108" s="436"/>
      <c r="O108" s="436"/>
      <c r="P108" s="437"/>
    </row>
    <row r="109" spans="1:26" ht="42" customHeight="1" x14ac:dyDescent="0.25">
      <c r="A109" s="95"/>
      <c r="B109" s="421"/>
      <c r="C109" s="422"/>
      <c r="D109" s="422"/>
      <c r="E109" s="422"/>
      <c r="F109" s="423"/>
      <c r="G109" s="421"/>
      <c r="H109" s="422"/>
      <c r="I109" s="422"/>
      <c r="J109" s="422"/>
      <c r="K109" s="423"/>
      <c r="L109" s="438"/>
      <c r="M109" s="439"/>
      <c r="N109" s="439"/>
      <c r="O109" s="439"/>
      <c r="P109" s="440"/>
    </row>
    <row r="110" spans="1:26" ht="15" customHeight="1" thickBot="1" x14ac:dyDescent="0.3">
      <c r="A110" s="93"/>
      <c r="B110" s="421"/>
      <c r="C110" s="422"/>
      <c r="D110" s="422"/>
      <c r="E110" s="422"/>
      <c r="F110" s="423"/>
      <c r="G110" s="421"/>
      <c r="H110" s="422"/>
      <c r="I110" s="422"/>
      <c r="J110" s="422"/>
      <c r="K110" s="423"/>
      <c r="L110" s="441"/>
      <c r="M110" s="442"/>
      <c r="N110" s="442"/>
      <c r="O110" s="442"/>
      <c r="P110" s="443"/>
    </row>
    <row r="111" spans="1:26" ht="22.5" customHeight="1" thickBot="1" x14ac:dyDescent="0.3">
      <c r="A111" s="93"/>
      <c r="B111" s="421"/>
      <c r="C111" s="422"/>
      <c r="D111" s="422"/>
      <c r="E111" s="422"/>
      <c r="F111" s="423"/>
      <c r="G111" s="421"/>
      <c r="H111" s="422"/>
      <c r="I111" s="422"/>
      <c r="J111" s="422"/>
      <c r="K111" s="423"/>
      <c r="L111" s="444" t="s">
        <v>34</v>
      </c>
      <c r="M111" s="445"/>
      <c r="N111" s="445"/>
      <c r="O111" s="445"/>
      <c r="P111" s="90">
        <v>5.17</v>
      </c>
    </row>
    <row r="112" spans="1:26" ht="32.25" customHeight="1" thickBot="1" x14ac:dyDescent="0.3">
      <c r="A112" s="93"/>
      <c r="B112" s="424"/>
      <c r="C112" s="425"/>
      <c r="D112" s="425"/>
      <c r="E112" s="425"/>
      <c r="F112" s="426"/>
      <c r="G112" s="424"/>
      <c r="H112" s="425"/>
      <c r="I112" s="425"/>
      <c r="J112" s="425"/>
      <c r="K112" s="426"/>
      <c r="L112" s="446" t="s">
        <v>103</v>
      </c>
      <c r="M112" s="447"/>
      <c r="N112" s="447"/>
      <c r="O112" s="447"/>
      <c r="P112" s="90">
        <v>1.26</v>
      </c>
    </row>
    <row r="113" spans="1:16" ht="23.45" customHeight="1" thickBot="1" x14ac:dyDescent="0.3">
      <c r="A113" s="5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</row>
    <row r="114" spans="1:16" ht="15.75" thickBot="1" x14ac:dyDescent="0.3">
      <c r="A114" s="407" t="s">
        <v>35</v>
      </c>
      <c r="B114" s="408"/>
      <c r="C114" s="408"/>
      <c r="D114" s="408"/>
      <c r="E114" s="408"/>
      <c r="F114" s="408"/>
      <c r="G114" s="408"/>
      <c r="H114" s="408"/>
      <c r="I114" s="408"/>
      <c r="J114" s="408"/>
      <c r="K114" s="408"/>
      <c r="L114" s="408"/>
      <c r="M114" s="408"/>
      <c r="N114" s="408"/>
      <c r="O114" s="408"/>
      <c r="P114" s="409"/>
    </row>
    <row r="115" spans="1:16" ht="159" customHeight="1" thickBot="1" x14ac:dyDescent="0.3">
      <c r="A115" s="4"/>
      <c r="B115" s="410"/>
      <c r="C115" s="411"/>
      <c r="D115" s="411"/>
      <c r="E115" s="411"/>
      <c r="F115" s="412"/>
      <c r="G115" s="410"/>
      <c r="H115" s="411"/>
      <c r="I115" s="411"/>
      <c r="J115" s="411"/>
      <c r="K115" s="412"/>
      <c r="L115" s="410"/>
      <c r="M115" s="411"/>
      <c r="N115" s="411"/>
      <c r="O115" s="411"/>
      <c r="P115" s="413"/>
    </row>
    <row r="116" spans="1:16" ht="21.75" customHeight="1" thickBot="1" x14ac:dyDescent="0.3">
      <c r="A116" s="4"/>
      <c r="B116" s="414" t="s">
        <v>142</v>
      </c>
      <c r="C116" s="415"/>
      <c r="D116" s="415"/>
      <c r="E116" s="415"/>
      <c r="F116" s="416"/>
      <c r="G116" s="414" t="s">
        <v>143</v>
      </c>
      <c r="H116" s="415"/>
      <c r="I116" s="415"/>
      <c r="J116" s="415"/>
      <c r="K116" s="416"/>
      <c r="L116" s="414" t="s">
        <v>142</v>
      </c>
      <c r="M116" s="415"/>
      <c r="N116" s="415"/>
      <c r="O116" s="415"/>
      <c r="P116" s="417"/>
    </row>
    <row r="117" spans="1:16" s="7" customFormat="1" ht="16.899999999999999" customHeight="1" thickBot="1" x14ac:dyDescent="0.3">
      <c r="A117" s="6"/>
      <c r="B117" s="401"/>
      <c r="C117" s="401"/>
      <c r="D117" s="401"/>
      <c r="E117" s="401"/>
      <c r="F117" s="401"/>
      <c r="G117" s="401"/>
      <c r="H117" s="401"/>
      <c r="I117" s="401"/>
      <c r="J117" s="401"/>
      <c r="K117" s="401"/>
      <c r="L117" s="401"/>
      <c r="M117" s="401"/>
      <c r="N117" s="401"/>
      <c r="O117" s="401"/>
      <c r="P117" s="402"/>
    </row>
    <row r="118" spans="1:16" s="3" customFormat="1" ht="15.75" customHeight="1" thickBot="1" x14ac:dyDescent="0.25">
      <c r="A118" s="403" t="s">
        <v>36</v>
      </c>
      <c r="B118" s="404"/>
      <c r="C118" s="404"/>
      <c r="D118" s="404"/>
      <c r="E118" s="404"/>
      <c r="F118" s="404"/>
      <c r="G118" s="404"/>
      <c r="H118" s="404"/>
      <c r="I118" s="404"/>
      <c r="J118" s="404" t="s">
        <v>37</v>
      </c>
      <c r="K118" s="404"/>
      <c r="L118" s="404"/>
      <c r="M118" s="404"/>
      <c r="N118" s="404"/>
      <c r="O118" s="404"/>
      <c r="P118" s="405"/>
    </row>
  </sheetData>
  <mergeCells count="2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K116"/>
    <mergeCell ref="L116:P11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5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2.140625" customWidth="1"/>
    <col min="11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594"/>
      <c r="B2" s="595"/>
      <c r="C2" s="596"/>
      <c r="D2" s="597"/>
      <c r="E2" s="598" t="s">
        <v>144</v>
      </c>
      <c r="F2" s="599"/>
      <c r="G2" s="599"/>
      <c r="H2" s="599"/>
      <c r="I2" s="599"/>
      <c r="J2" s="599"/>
      <c r="K2" s="599"/>
      <c r="L2" s="599"/>
      <c r="M2" s="599"/>
      <c r="N2" s="599"/>
      <c r="O2" s="600"/>
      <c r="P2" s="601"/>
    </row>
    <row r="3" spans="1:26" s="2" customFormat="1" ht="25.5" customHeight="1" thickBot="1" x14ac:dyDescent="0.3">
      <c r="A3" s="594"/>
      <c r="B3" s="602"/>
      <c r="C3" s="603"/>
      <c r="D3" s="604"/>
      <c r="E3" s="605"/>
      <c r="F3" s="606"/>
      <c r="G3" s="606"/>
      <c r="H3" s="606"/>
      <c r="I3" s="606"/>
      <c r="J3" s="606"/>
      <c r="K3" s="606"/>
      <c r="L3" s="606"/>
      <c r="M3" s="606"/>
      <c r="N3" s="606"/>
      <c r="O3" s="607"/>
      <c r="P3" s="608"/>
    </row>
    <row r="4" spans="1:26" s="91" customFormat="1" ht="11.25" customHeight="1" thickBot="1" x14ac:dyDescent="0.3">
      <c r="A4" s="15"/>
      <c r="B4" s="588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589">
        <v>43160</v>
      </c>
      <c r="D5" s="590"/>
      <c r="E5" s="70" t="s">
        <v>50</v>
      </c>
      <c r="F5" s="71">
        <v>4</v>
      </c>
      <c r="G5" s="72" t="s">
        <v>1</v>
      </c>
      <c r="H5" s="591" t="s">
        <v>145</v>
      </c>
      <c r="I5" s="592"/>
      <c r="J5" s="592"/>
      <c r="K5" s="592"/>
      <c r="L5" s="592"/>
      <c r="M5" s="592"/>
      <c r="N5" s="592"/>
      <c r="O5" s="592"/>
      <c r="P5" s="593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572" t="s">
        <v>2</v>
      </c>
      <c r="C6" s="573"/>
      <c r="D6" s="574" t="s">
        <v>140</v>
      </c>
      <c r="E6" s="575"/>
      <c r="F6" s="575"/>
      <c r="G6" s="575"/>
      <c r="H6" s="575"/>
      <c r="I6" s="576"/>
      <c r="J6" s="74" t="s">
        <v>3</v>
      </c>
      <c r="K6" s="577" t="s">
        <v>110</v>
      </c>
      <c r="L6" s="576"/>
      <c r="M6" s="577" t="s">
        <v>111</v>
      </c>
      <c r="N6" s="578"/>
      <c r="O6" s="75" t="s">
        <v>51</v>
      </c>
      <c r="P6" s="76">
        <v>1773</v>
      </c>
    </row>
    <row r="7" spans="1:26" s="18" customFormat="1" ht="21.75" customHeight="1" x14ac:dyDescent="0.25">
      <c r="B7" s="579" t="s">
        <v>52</v>
      </c>
      <c r="C7" s="580" t="s">
        <v>53</v>
      </c>
      <c r="D7" s="550"/>
      <c r="E7" s="78"/>
      <c r="F7" s="581" t="s">
        <v>54</v>
      </c>
      <c r="G7" s="582"/>
      <c r="H7" s="582"/>
      <c r="I7" s="582"/>
      <c r="J7" s="583" t="s">
        <v>55</v>
      </c>
      <c r="K7" s="584"/>
      <c r="L7" s="584"/>
      <c r="M7" s="585"/>
      <c r="N7" s="586" t="s">
        <v>101</v>
      </c>
      <c r="O7" s="587"/>
      <c r="P7" s="79" t="s">
        <v>56</v>
      </c>
    </row>
    <row r="8" spans="1:26" s="18" customFormat="1" ht="21.75" customHeight="1" thickBot="1" x14ac:dyDescent="0.3">
      <c r="B8" s="524"/>
      <c r="C8" s="541" t="s">
        <v>57</v>
      </c>
      <c r="D8" s="540"/>
      <c r="E8" s="80" t="s">
        <v>4</v>
      </c>
      <c r="F8" s="551" t="s">
        <v>5</v>
      </c>
      <c r="G8" s="552"/>
      <c r="H8" s="552"/>
      <c r="I8" s="552"/>
      <c r="J8" s="553"/>
      <c r="K8" s="554"/>
      <c r="L8" s="554"/>
      <c r="M8" s="555"/>
      <c r="N8" s="556"/>
      <c r="O8" s="557"/>
      <c r="P8" s="81"/>
    </row>
    <row r="9" spans="1:26" s="18" customFormat="1" ht="21.75" customHeight="1" x14ac:dyDescent="0.25">
      <c r="B9" s="558" t="s">
        <v>6</v>
      </c>
      <c r="C9" s="561" t="s">
        <v>58</v>
      </c>
      <c r="D9" s="562" t="s">
        <v>59</v>
      </c>
      <c r="E9" s="547"/>
      <c r="F9" s="82"/>
      <c r="G9" s="563" t="s">
        <v>7</v>
      </c>
      <c r="H9" s="564" t="s">
        <v>8</v>
      </c>
      <c r="I9" s="550"/>
      <c r="J9" s="83"/>
      <c r="K9" s="561" t="s">
        <v>60</v>
      </c>
      <c r="L9" s="565" t="s">
        <v>141</v>
      </c>
      <c r="M9" s="566"/>
      <c r="N9" s="567"/>
      <c r="O9" s="567"/>
      <c r="P9" s="568"/>
    </row>
    <row r="10" spans="1:26" s="18" customFormat="1" ht="21.75" customHeight="1" thickBot="1" x14ac:dyDescent="0.3">
      <c r="B10" s="559"/>
      <c r="C10" s="504"/>
      <c r="D10" s="545" t="s">
        <v>61</v>
      </c>
      <c r="E10" s="540"/>
      <c r="F10" s="84" t="s">
        <v>4</v>
      </c>
      <c r="G10" s="504"/>
      <c r="H10" s="545" t="s">
        <v>9</v>
      </c>
      <c r="I10" s="540"/>
      <c r="J10" s="85" t="s">
        <v>4</v>
      </c>
      <c r="K10" s="504"/>
      <c r="L10" s="569"/>
      <c r="M10" s="570"/>
      <c r="N10" s="570"/>
      <c r="O10" s="570"/>
      <c r="P10" s="571"/>
    </row>
    <row r="11" spans="1:26" s="18" customFormat="1" ht="21.75" customHeight="1" x14ac:dyDescent="0.25">
      <c r="A11" s="16"/>
      <c r="B11" s="559"/>
      <c r="C11" s="546" t="s">
        <v>10</v>
      </c>
      <c r="D11" s="547"/>
      <c r="E11" s="86">
        <v>0.4826388888888889</v>
      </c>
      <c r="F11" s="548" t="s">
        <v>11</v>
      </c>
      <c r="G11" s="547"/>
      <c r="H11" s="87">
        <v>0.46</v>
      </c>
      <c r="I11" s="549" t="s">
        <v>12</v>
      </c>
      <c r="J11" s="550"/>
      <c r="K11" s="87">
        <v>17</v>
      </c>
      <c r="L11" s="546" t="s">
        <v>13</v>
      </c>
      <c r="M11" s="547"/>
      <c r="N11" s="88">
        <v>11.85</v>
      </c>
      <c r="O11" s="537" t="s">
        <v>62</v>
      </c>
      <c r="P11" s="538"/>
    </row>
    <row r="12" spans="1:26" s="18" customFormat="1" ht="21.75" customHeight="1" thickBot="1" x14ac:dyDescent="0.3">
      <c r="A12" s="16"/>
      <c r="B12" s="560"/>
      <c r="C12" s="539" t="s">
        <v>14</v>
      </c>
      <c r="D12" s="540"/>
      <c r="E12" s="86">
        <v>0.53472222222222221</v>
      </c>
      <c r="F12" s="541" t="s">
        <v>15</v>
      </c>
      <c r="G12" s="540"/>
      <c r="H12" s="87">
        <v>0.46</v>
      </c>
      <c r="I12" s="542" t="s">
        <v>16</v>
      </c>
      <c r="J12" s="540"/>
      <c r="K12" s="86">
        <v>0.55902777777777779</v>
      </c>
      <c r="L12" s="539" t="s">
        <v>17</v>
      </c>
      <c r="M12" s="540"/>
      <c r="N12" s="89">
        <v>0.6</v>
      </c>
      <c r="O12" s="543">
        <v>0.55000000000000004</v>
      </c>
      <c r="P12" s="544"/>
    </row>
    <row r="13" spans="1:26" s="18" customFormat="1" ht="21.75" customHeight="1" x14ac:dyDescent="0.25">
      <c r="A13" s="16"/>
      <c r="B13" s="522" t="s">
        <v>18</v>
      </c>
      <c r="C13" s="525" t="s">
        <v>63</v>
      </c>
      <c r="D13" s="526"/>
      <c r="E13" s="526"/>
      <c r="F13" s="527" t="s">
        <v>64</v>
      </c>
      <c r="G13" s="526"/>
      <c r="H13" s="526"/>
      <c r="I13" s="526"/>
      <c r="J13" s="527" t="s">
        <v>65</v>
      </c>
      <c r="K13" s="526"/>
      <c r="L13" s="526"/>
      <c r="M13" s="526"/>
      <c r="N13" s="528" t="s">
        <v>66</v>
      </c>
      <c r="O13" s="526"/>
      <c r="P13" s="529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523"/>
      <c r="C14" s="530" t="s">
        <v>67</v>
      </c>
      <c r="D14" s="531"/>
      <c r="E14" s="531"/>
      <c r="F14" s="532" t="s">
        <v>68</v>
      </c>
      <c r="G14" s="531"/>
      <c r="H14" s="531"/>
      <c r="I14" s="531"/>
      <c r="J14" s="533" t="s">
        <v>69</v>
      </c>
      <c r="K14" s="531"/>
      <c r="L14" s="531"/>
      <c r="M14" s="531"/>
      <c r="N14" s="534"/>
      <c r="O14" s="519"/>
      <c r="P14" s="535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524"/>
      <c r="C15" s="536" t="s">
        <v>70</v>
      </c>
      <c r="D15" s="506"/>
      <c r="E15" s="506"/>
      <c r="F15" s="506" t="s">
        <v>71</v>
      </c>
      <c r="G15" s="507"/>
      <c r="H15" s="507"/>
      <c r="I15" s="507"/>
      <c r="J15" s="506" t="s">
        <v>72</v>
      </c>
      <c r="K15" s="507"/>
      <c r="L15" s="507"/>
      <c r="M15" s="507"/>
      <c r="N15" s="508"/>
      <c r="O15" s="509"/>
      <c r="P15" s="510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511" t="s">
        <v>19</v>
      </c>
      <c r="C16" s="513" t="s">
        <v>20</v>
      </c>
      <c r="D16" s="513" t="s">
        <v>40</v>
      </c>
      <c r="E16" s="515" t="s">
        <v>21</v>
      </c>
      <c r="F16" s="516" t="s">
        <v>41</v>
      </c>
      <c r="G16" s="517"/>
      <c r="H16" s="513" t="s">
        <v>73</v>
      </c>
      <c r="I16" s="520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512"/>
      <c r="C17" s="514"/>
      <c r="D17" s="514"/>
      <c r="E17" s="514"/>
      <c r="F17" s="518"/>
      <c r="G17" s="519"/>
      <c r="H17" s="514"/>
      <c r="I17" s="521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0.55000000000000004</v>
      </c>
      <c r="D18" s="29">
        <v>2.5000000000000001E-2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502">
        <v>1</v>
      </c>
      <c r="C19" s="505">
        <f>+C18+$N$12</f>
        <v>1.1499999999999999</v>
      </c>
      <c r="D19" s="482">
        <v>0.13500000000000001</v>
      </c>
      <c r="E19" s="482">
        <v>0.1</v>
      </c>
      <c r="F19" s="36" t="s">
        <v>75</v>
      </c>
      <c r="G19" s="37">
        <v>0</v>
      </c>
      <c r="H19" s="38"/>
      <c r="I19" s="39"/>
      <c r="J19" s="40">
        <v>8.9999999999999993E-3</v>
      </c>
      <c r="K19" s="482">
        <f>+IF(E19&lt;=0.12,(J21),(IF(E19&lt;0.16,((J20+2*J21+J22)/4),IF(E19&gt;=0.16,((J19+3*J20+2*J21+3*J22+J23)/10)))))</f>
        <v>6.0000000000000001E-3</v>
      </c>
      <c r="L19" s="482">
        <f>ROUND(+(D18+D19)/2*(C19-C18),3)</f>
        <v>4.8000000000000001E-2</v>
      </c>
      <c r="M19" s="482">
        <f>ROUND(+K19*L19,4)</f>
        <v>2.9999999999999997E-4</v>
      </c>
      <c r="N19" s="485">
        <f>ROUND(+M19/$M$138*100,2)</f>
        <v>0.02</v>
      </c>
      <c r="O19" s="486"/>
      <c r="P19" s="48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503"/>
      <c r="C20" s="483"/>
      <c r="D20" s="483"/>
      <c r="E20" s="483"/>
      <c r="F20" s="41" t="s">
        <v>76</v>
      </c>
      <c r="G20" s="42" t="str">
        <f>IF(E19&lt;0.125,"NA",IF(0.125&lt;=E19,(0.2*E19)))</f>
        <v>NA</v>
      </c>
      <c r="H20" s="43"/>
      <c r="I20" s="44"/>
      <c r="J20" s="45"/>
      <c r="K20" s="483"/>
      <c r="L20" s="483"/>
      <c r="M20" s="483"/>
      <c r="N20" s="483"/>
      <c r="O20" s="483"/>
      <c r="P20" s="488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503"/>
      <c r="C21" s="483"/>
      <c r="D21" s="483"/>
      <c r="E21" s="483"/>
      <c r="F21" s="41" t="s">
        <v>77</v>
      </c>
      <c r="G21" s="42">
        <f>+E19*0.4</f>
        <v>4.0000000000000008E-2</v>
      </c>
      <c r="H21" s="43"/>
      <c r="I21" s="44"/>
      <c r="J21" s="45">
        <v>6.0000000000000001E-3</v>
      </c>
      <c r="K21" s="483"/>
      <c r="L21" s="483"/>
      <c r="M21" s="483"/>
      <c r="N21" s="483"/>
      <c r="O21" s="483"/>
      <c r="P21" s="488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503"/>
      <c r="C22" s="483"/>
      <c r="D22" s="483"/>
      <c r="E22" s="483"/>
      <c r="F22" s="41" t="s">
        <v>78</v>
      </c>
      <c r="G22" s="42" t="str">
        <f>IF(E19&lt;0.125,"NA",IF(0.125&lt;=E19,(0.8*E19)))</f>
        <v>NA</v>
      </c>
      <c r="H22" s="43"/>
      <c r="I22" s="44"/>
      <c r="J22" s="45"/>
      <c r="K22" s="483"/>
      <c r="L22" s="483"/>
      <c r="M22" s="483"/>
      <c r="N22" s="483"/>
      <c r="O22" s="483"/>
      <c r="P22" s="488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504"/>
      <c r="C23" s="484"/>
      <c r="D23" s="484"/>
      <c r="E23" s="484"/>
      <c r="F23" s="46" t="s">
        <v>79</v>
      </c>
      <c r="G23" s="47">
        <f>+E19</f>
        <v>0.1</v>
      </c>
      <c r="H23" s="48"/>
      <c r="I23" s="49"/>
      <c r="J23" s="50">
        <v>2E-3</v>
      </c>
      <c r="K23" s="484"/>
      <c r="L23" s="484"/>
      <c r="M23" s="484"/>
      <c r="N23" s="484"/>
      <c r="O23" s="484"/>
      <c r="P23" s="48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502">
        <v>2</v>
      </c>
      <c r="C24" s="505">
        <f>+C19+$N$12</f>
        <v>1.75</v>
      </c>
      <c r="D24" s="482">
        <v>0.30499999999999999</v>
      </c>
      <c r="E24" s="482">
        <v>0.23799999999999999</v>
      </c>
      <c r="F24" s="36" t="s">
        <v>75</v>
      </c>
      <c r="G24" s="37">
        <v>0</v>
      </c>
      <c r="H24" s="38"/>
      <c r="I24" s="39"/>
      <c r="J24" s="40">
        <v>2.5000000000000001E-2</v>
      </c>
      <c r="K24" s="482">
        <f t="shared" ref="K24" si="0">+IF(E24&lt;=0.12,(J26),(IF(E24&lt;0.16,((J25+2*J26+J27)/4),IF(E24&gt;=0.16,((J24+3*J25+2*J26+3*J27+J28)/10)))))</f>
        <v>2.8600000000000004E-2</v>
      </c>
      <c r="L24" s="482">
        <f>ROUND(+(D19+D24)/2*(C24-C19),3)</f>
        <v>0.13200000000000001</v>
      </c>
      <c r="M24" s="482">
        <f t="shared" ref="M24" si="1">ROUND(+K24*L24,4)</f>
        <v>3.8E-3</v>
      </c>
      <c r="N24" s="485">
        <f>ROUND(+M24/$M$138*100,2)</f>
        <v>0.19</v>
      </c>
      <c r="O24" s="486"/>
      <c r="P24" s="48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503"/>
      <c r="C25" s="483"/>
      <c r="D25" s="483"/>
      <c r="E25" s="483"/>
      <c r="F25" s="41" t="s">
        <v>76</v>
      </c>
      <c r="G25" s="42">
        <f t="shared" ref="G25" si="2">IF(E24&lt;0.125,"NA",IF(0.125&lt;=E24,(0.2*E24)))</f>
        <v>4.7600000000000003E-2</v>
      </c>
      <c r="H25" s="43"/>
      <c r="I25" s="44"/>
      <c r="J25" s="45">
        <v>1.4E-2</v>
      </c>
      <c r="K25" s="483"/>
      <c r="L25" s="483"/>
      <c r="M25" s="483"/>
      <c r="N25" s="483"/>
      <c r="O25" s="483"/>
      <c r="P25" s="488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503"/>
      <c r="C26" s="483"/>
      <c r="D26" s="483"/>
      <c r="E26" s="483"/>
      <c r="F26" s="41" t="s">
        <v>77</v>
      </c>
      <c r="G26" s="42">
        <f t="shared" ref="G26" si="3">+E24*0.4</f>
        <v>9.5200000000000007E-2</v>
      </c>
      <c r="H26" s="43"/>
      <c r="I26" s="44"/>
      <c r="J26" s="45">
        <v>6.4000000000000001E-2</v>
      </c>
      <c r="K26" s="483"/>
      <c r="L26" s="483"/>
      <c r="M26" s="483"/>
      <c r="N26" s="483"/>
      <c r="O26" s="483"/>
      <c r="P26" s="488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503"/>
      <c r="C27" s="483"/>
      <c r="D27" s="483"/>
      <c r="E27" s="483"/>
      <c r="F27" s="41" t="s">
        <v>78</v>
      </c>
      <c r="G27" s="42">
        <f t="shared" ref="G27" si="4">IF(E24&lt;0.125,"NA",IF(0.125&lt;=E24,(0.8*E24)))</f>
        <v>0.19040000000000001</v>
      </c>
      <c r="H27" s="43"/>
      <c r="I27" s="44"/>
      <c r="J27" s="45">
        <v>2.5000000000000001E-2</v>
      </c>
      <c r="K27" s="483"/>
      <c r="L27" s="483"/>
      <c r="M27" s="483"/>
      <c r="N27" s="483"/>
      <c r="O27" s="483"/>
      <c r="P27" s="488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504"/>
      <c r="C28" s="484"/>
      <c r="D28" s="484"/>
      <c r="E28" s="484"/>
      <c r="F28" s="46" t="s">
        <v>79</v>
      </c>
      <c r="G28" s="47">
        <f t="shared" ref="G28" si="5">+E24</f>
        <v>0.23799999999999999</v>
      </c>
      <c r="H28" s="48"/>
      <c r="I28" s="49"/>
      <c r="J28" s="50">
        <v>1.6E-2</v>
      </c>
      <c r="K28" s="484"/>
      <c r="L28" s="484"/>
      <c r="M28" s="484"/>
      <c r="N28" s="484"/>
      <c r="O28" s="484"/>
      <c r="P28" s="489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502">
        <v>3</v>
      </c>
      <c r="C29" s="505">
        <f>+C24+$N$12</f>
        <v>2.35</v>
      </c>
      <c r="D29" s="482">
        <v>0.45</v>
      </c>
      <c r="E29" s="482">
        <v>0.41799999999999998</v>
      </c>
      <c r="F29" s="36" t="s">
        <v>75</v>
      </c>
      <c r="G29" s="37">
        <v>0</v>
      </c>
      <c r="H29" s="38"/>
      <c r="I29" s="39"/>
      <c r="J29" s="40">
        <v>4.5999999999999999E-2</v>
      </c>
      <c r="K29" s="482">
        <f t="shared" ref="K29" si="6">+IF(E29&lt;=0.12,(J31),(IF(E29&lt;0.16,((J30+2*J31+J32)/4),IF(E29&gt;=0.16,((J29+3*J30+2*J31+3*J32+J33)/10)))))</f>
        <v>7.0700000000000013E-2</v>
      </c>
      <c r="L29" s="482">
        <f>ROUND(+(D24+D29)/2*(C29-C24),3)</f>
        <v>0.22700000000000001</v>
      </c>
      <c r="M29" s="482">
        <f t="shared" ref="M29" si="7">ROUND(+K29*L29,4)</f>
        <v>1.6E-2</v>
      </c>
      <c r="N29" s="485">
        <f>ROUND(+M29/$M$138*100,2)</f>
        <v>0.81</v>
      </c>
      <c r="O29" s="486"/>
      <c r="P29" s="48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503"/>
      <c r="C30" s="483"/>
      <c r="D30" s="483"/>
      <c r="E30" s="483"/>
      <c r="F30" s="41" t="s">
        <v>76</v>
      </c>
      <c r="G30" s="42">
        <f t="shared" ref="G30" si="8">IF(E29&lt;0.125,"NA",IF(0.125&lt;=E29,(0.2*E29)))</f>
        <v>8.3600000000000008E-2</v>
      </c>
      <c r="H30" s="43"/>
      <c r="I30" s="44"/>
      <c r="J30" s="45">
        <v>6.5000000000000002E-2</v>
      </c>
      <c r="K30" s="483"/>
      <c r="L30" s="483"/>
      <c r="M30" s="483"/>
      <c r="N30" s="483"/>
      <c r="O30" s="483"/>
      <c r="P30" s="488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503"/>
      <c r="C31" s="483"/>
      <c r="D31" s="483"/>
      <c r="E31" s="483"/>
      <c r="F31" s="41" t="s">
        <v>77</v>
      </c>
      <c r="G31" s="42">
        <f t="shared" ref="G31" si="9">+E29*0.4</f>
        <v>0.16720000000000002</v>
      </c>
      <c r="H31" s="43"/>
      <c r="I31" s="44"/>
      <c r="J31" s="45">
        <v>8.4000000000000005E-2</v>
      </c>
      <c r="K31" s="483"/>
      <c r="L31" s="483"/>
      <c r="M31" s="483"/>
      <c r="N31" s="483"/>
      <c r="O31" s="483"/>
      <c r="P31" s="488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503"/>
      <c r="C32" s="483"/>
      <c r="D32" s="483"/>
      <c r="E32" s="483"/>
      <c r="F32" s="41" t="s">
        <v>78</v>
      </c>
      <c r="G32" s="42">
        <f t="shared" ref="G32" si="10">IF(E29&lt;0.125,"NA",IF(0.125&lt;=E29,(0.8*E29)))</f>
        <v>0.33440000000000003</v>
      </c>
      <c r="H32" s="43"/>
      <c r="I32" s="44"/>
      <c r="J32" s="45">
        <v>7.9000000000000001E-2</v>
      </c>
      <c r="K32" s="483"/>
      <c r="L32" s="483"/>
      <c r="M32" s="483"/>
      <c r="N32" s="483"/>
      <c r="O32" s="483"/>
      <c r="P32" s="488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504"/>
      <c r="C33" s="484"/>
      <c r="D33" s="484"/>
      <c r="E33" s="484"/>
      <c r="F33" s="46" t="s">
        <v>79</v>
      </c>
      <c r="G33" s="47">
        <f t="shared" ref="G33" si="11">+E29</f>
        <v>0.41799999999999998</v>
      </c>
      <c r="H33" s="48"/>
      <c r="I33" s="49"/>
      <c r="J33" s="50">
        <v>6.0999999999999999E-2</v>
      </c>
      <c r="K33" s="484"/>
      <c r="L33" s="484"/>
      <c r="M33" s="484"/>
      <c r="N33" s="484"/>
      <c r="O33" s="484"/>
      <c r="P33" s="489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502">
        <v>4</v>
      </c>
      <c r="C34" s="505">
        <f>+C29+$N$12</f>
        <v>2.95</v>
      </c>
      <c r="D34" s="482">
        <v>0.54</v>
      </c>
      <c r="E34" s="482">
        <v>0.52</v>
      </c>
      <c r="F34" s="36" t="s">
        <v>75</v>
      </c>
      <c r="G34" s="37">
        <v>0</v>
      </c>
      <c r="H34" s="38"/>
      <c r="I34" s="39"/>
      <c r="J34" s="40">
        <v>9.1999999999999998E-2</v>
      </c>
      <c r="K34" s="482">
        <f t="shared" ref="K34" si="12">+IF(E34&lt;=0.12,(J36),(IF(E34&lt;0.16,((J35+2*J36+J37)/4),IF(E34&gt;=0.16,((J34+3*J35+2*J36+3*J37+J38)/10)))))</f>
        <v>0.13450000000000001</v>
      </c>
      <c r="L34" s="482">
        <f>ROUND(+(D29+D34)/2*(C34-C29),3)</f>
        <v>0.29699999999999999</v>
      </c>
      <c r="M34" s="482">
        <f t="shared" ref="M34" si="13">ROUND(+K34*L34,4)</f>
        <v>3.9899999999999998E-2</v>
      </c>
      <c r="N34" s="485">
        <f>ROUND(+M34/$M$138*100,2)</f>
        <v>2.02</v>
      </c>
      <c r="O34" s="486"/>
      <c r="P34" s="48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503"/>
      <c r="C35" s="483"/>
      <c r="D35" s="483"/>
      <c r="E35" s="483"/>
      <c r="F35" s="41" t="s">
        <v>76</v>
      </c>
      <c r="G35" s="42">
        <f t="shared" ref="G35" si="14">IF(E34&lt;0.125,"NA",IF(0.125&lt;=E34,(0.2*E34)))</f>
        <v>0.10400000000000001</v>
      </c>
      <c r="H35" s="43"/>
      <c r="I35" s="44"/>
      <c r="J35" s="45">
        <v>0.105</v>
      </c>
      <c r="K35" s="483"/>
      <c r="L35" s="483"/>
      <c r="M35" s="483"/>
      <c r="N35" s="483"/>
      <c r="O35" s="483"/>
      <c r="P35" s="488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503"/>
      <c r="C36" s="483"/>
      <c r="D36" s="483"/>
      <c r="E36" s="483"/>
      <c r="F36" s="41" t="s">
        <v>77</v>
      </c>
      <c r="G36" s="42">
        <f t="shared" ref="G36" si="15">+E34*0.4</f>
        <v>0.20800000000000002</v>
      </c>
      <c r="H36" s="43"/>
      <c r="I36" s="44"/>
      <c r="J36" s="45">
        <v>0.106</v>
      </c>
      <c r="K36" s="483"/>
      <c r="L36" s="483"/>
      <c r="M36" s="483"/>
      <c r="N36" s="483"/>
      <c r="O36" s="483"/>
      <c r="P36" s="488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503"/>
      <c r="C37" s="483"/>
      <c r="D37" s="483"/>
      <c r="E37" s="483"/>
      <c r="F37" s="41" t="s">
        <v>78</v>
      </c>
      <c r="G37" s="42">
        <f t="shared" ref="G37" si="16">IF(E34&lt;0.125,"NA",IF(0.125&lt;=E34,(0.8*E34)))</f>
        <v>0.41600000000000004</v>
      </c>
      <c r="H37" s="43"/>
      <c r="I37" s="44"/>
      <c r="J37" s="45">
        <v>0.17899999999999999</v>
      </c>
      <c r="K37" s="483"/>
      <c r="L37" s="483"/>
      <c r="M37" s="483"/>
      <c r="N37" s="483"/>
      <c r="O37" s="483"/>
      <c r="P37" s="488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504"/>
      <c r="C38" s="484"/>
      <c r="D38" s="484"/>
      <c r="E38" s="484"/>
      <c r="F38" s="46" t="s">
        <v>79</v>
      </c>
      <c r="G38" s="47">
        <f t="shared" ref="G38" si="17">+E34</f>
        <v>0.52</v>
      </c>
      <c r="H38" s="48"/>
      <c r="I38" s="49"/>
      <c r="J38" s="50">
        <v>0.189</v>
      </c>
      <c r="K38" s="484"/>
      <c r="L38" s="484"/>
      <c r="M38" s="484"/>
      <c r="N38" s="484"/>
      <c r="O38" s="484"/>
      <c r="P38" s="489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502">
        <v>5</v>
      </c>
      <c r="C39" s="505">
        <f>+C34+$N$12</f>
        <v>3.5500000000000003</v>
      </c>
      <c r="D39" s="482">
        <v>0.65500000000000003</v>
      </c>
      <c r="E39" s="482">
        <v>0.51500000000000001</v>
      </c>
      <c r="F39" s="36" t="s">
        <v>75</v>
      </c>
      <c r="G39" s="37">
        <v>0</v>
      </c>
      <c r="H39" s="38"/>
      <c r="I39" s="39"/>
      <c r="J39" s="40">
        <v>0.14099999999999999</v>
      </c>
      <c r="K39" s="482">
        <f t="shared" ref="K39" si="18">+IF(E39&lt;=0.12,(J41),(IF(E39&lt;0.16,((J40+2*J41+J42)/4),IF(E39&gt;=0.16,((J39+3*J40+2*J41+3*J42+J43)/10)))))</f>
        <v>0.18539999999999998</v>
      </c>
      <c r="L39" s="482">
        <f>ROUND(+(D34+D39)/2*(C39-C34),3)</f>
        <v>0.35899999999999999</v>
      </c>
      <c r="M39" s="482">
        <f t="shared" ref="M39" si="19">ROUND(+K39*L39,4)</f>
        <v>6.6600000000000006E-2</v>
      </c>
      <c r="N39" s="485">
        <f>ROUND(+M39/$M$138*100,2)</f>
        <v>3.37</v>
      </c>
      <c r="O39" s="486"/>
      <c r="P39" s="48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503"/>
      <c r="C40" s="483"/>
      <c r="D40" s="483"/>
      <c r="E40" s="483"/>
      <c r="F40" s="41" t="s">
        <v>76</v>
      </c>
      <c r="G40" s="42">
        <f t="shared" ref="G40" si="20">IF(E39&lt;0.125,"NA",IF(0.125&lt;=E39,(0.2*E39)))</f>
        <v>0.10300000000000001</v>
      </c>
      <c r="H40" s="43"/>
      <c r="I40" s="44"/>
      <c r="J40" s="45">
        <v>0.17</v>
      </c>
      <c r="K40" s="483"/>
      <c r="L40" s="483"/>
      <c r="M40" s="483"/>
      <c r="N40" s="483"/>
      <c r="O40" s="483"/>
      <c r="P40" s="488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503"/>
      <c r="C41" s="483"/>
      <c r="D41" s="483"/>
      <c r="E41" s="483"/>
      <c r="F41" s="41" t="s">
        <v>77</v>
      </c>
      <c r="G41" s="42">
        <f t="shared" ref="G41" si="21">+E39*0.4</f>
        <v>0.20600000000000002</v>
      </c>
      <c r="H41" s="43"/>
      <c r="I41" s="44"/>
      <c r="J41" s="45">
        <v>0.19900000000000001</v>
      </c>
      <c r="K41" s="483"/>
      <c r="L41" s="483"/>
      <c r="M41" s="483"/>
      <c r="N41" s="483"/>
      <c r="O41" s="483"/>
      <c r="P41" s="488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503"/>
      <c r="C42" s="483"/>
      <c r="D42" s="483"/>
      <c r="E42" s="483"/>
      <c r="F42" s="41" t="s">
        <v>78</v>
      </c>
      <c r="G42" s="42">
        <f t="shared" ref="G42" si="22">IF(E39&lt;0.125,"NA",IF(0.125&lt;=E39,(0.8*E39)))</f>
        <v>0.41200000000000003</v>
      </c>
      <c r="H42" s="43"/>
      <c r="I42" s="44"/>
      <c r="J42" s="45">
        <v>0.20699999999999999</v>
      </c>
      <c r="K42" s="483"/>
      <c r="L42" s="483"/>
      <c r="M42" s="483"/>
      <c r="N42" s="483"/>
      <c r="O42" s="483"/>
      <c r="P42" s="488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504"/>
      <c r="C43" s="484"/>
      <c r="D43" s="484"/>
      <c r="E43" s="484"/>
      <c r="F43" s="46" t="s">
        <v>79</v>
      </c>
      <c r="G43" s="47">
        <f t="shared" ref="G43" si="23">+E39</f>
        <v>0.51500000000000001</v>
      </c>
      <c r="H43" s="48"/>
      <c r="I43" s="49"/>
      <c r="J43" s="50">
        <v>0.184</v>
      </c>
      <c r="K43" s="484"/>
      <c r="L43" s="484"/>
      <c r="M43" s="484"/>
      <c r="N43" s="484"/>
      <c r="O43" s="484"/>
      <c r="P43" s="489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502">
        <v>6</v>
      </c>
      <c r="C44" s="505">
        <f>+C39+$N$12</f>
        <v>4.1500000000000004</v>
      </c>
      <c r="D44" s="482">
        <v>0.76</v>
      </c>
      <c r="E44" s="482">
        <v>0.61</v>
      </c>
      <c r="F44" s="36" t="s">
        <v>75</v>
      </c>
      <c r="G44" s="37">
        <v>0</v>
      </c>
      <c r="H44" s="38"/>
      <c r="I44" s="39"/>
      <c r="J44" s="40">
        <v>0.20499999999999999</v>
      </c>
      <c r="K44" s="482">
        <f t="shared" ref="K44" si="24">+IF(E44&lt;=0.12,(J46),(IF(E44&lt;0.16,((J45+2*J46+J47)/4),IF(E44&gt;=0.16,((J44+3*J45+2*J46+3*J47+J48)/10)))))</f>
        <v>0.25779999999999997</v>
      </c>
      <c r="L44" s="482">
        <f>ROUND(+(D39+D44)/2*(C44-C39),3)</f>
        <v>0.42499999999999999</v>
      </c>
      <c r="M44" s="482">
        <f t="shared" ref="M44" si="25">ROUND(+K44*L44,4)</f>
        <v>0.1096</v>
      </c>
      <c r="N44" s="485">
        <f>ROUND(+M44/$M$138*100,2)</f>
        <v>5.54</v>
      </c>
      <c r="O44" s="486"/>
      <c r="P44" s="48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503"/>
      <c r="C45" s="483"/>
      <c r="D45" s="483"/>
      <c r="E45" s="483"/>
      <c r="F45" s="41" t="s">
        <v>76</v>
      </c>
      <c r="G45" s="42">
        <f t="shared" ref="G45" si="26">IF(E44&lt;0.125,"NA",IF(0.125&lt;=E44,(0.2*E44)))</f>
        <v>0.122</v>
      </c>
      <c r="H45" s="43"/>
      <c r="I45" s="44"/>
      <c r="J45" s="45">
        <v>0.18099999999999999</v>
      </c>
      <c r="K45" s="483"/>
      <c r="L45" s="483"/>
      <c r="M45" s="483"/>
      <c r="N45" s="483"/>
      <c r="O45" s="483"/>
      <c r="P45" s="488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503"/>
      <c r="C46" s="483"/>
      <c r="D46" s="483"/>
      <c r="E46" s="483"/>
      <c r="F46" s="41" t="s">
        <v>77</v>
      </c>
      <c r="G46" s="42">
        <f t="shared" ref="G46" si="27">+E44*0.4</f>
        <v>0.24399999999999999</v>
      </c>
      <c r="H46" s="43"/>
      <c r="I46" s="44"/>
      <c r="J46" s="45">
        <v>0.29099999999999998</v>
      </c>
      <c r="K46" s="483"/>
      <c r="L46" s="483"/>
      <c r="M46" s="483"/>
      <c r="N46" s="483"/>
      <c r="O46" s="483"/>
      <c r="P46" s="488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503"/>
      <c r="C47" s="483"/>
      <c r="D47" s="483"/>
      <c r="E47" s="483"/>
      <c r="F47" s="41" t="s">
        <v>78</v>
      </c>
      <c r="G47" s="42">
        <f t="shared" ref="G47" si="28">IF(E44&lt;0.125,"NA",IF(0.125&lt;=E44,(0.8*E44)))</f>
        <v>0.48799999999999999</v>
      </c>
      <c r="H47" s="43"/>
      <c r="I47" s="44"/>
      <c r="J47" s="45">
        <v>0.317</v>
      </c>
      <c r="K47" s="483"/>
      <c r="L47" s="483"/>
      <c r="M47" s="483"/>
      <c r="N47" s="483"/>
      <c r="O47" s="483"/>
      <c r="P47" s="488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504"/>
      <c r="C48" s="484"/>
      <c r="D48" s="484"/>
      <c r="E48" s="484"/>
      <c r="F48" s="46" t="s">
        <v>79</v>
      </c>
      <c r="G48" s="47">
        <f t="shared" ref="G48" si="29">+E44</f>
        <v>0.61</v>
      </c>
      <c r="H48" s="48"/>
      <c r="I48" s="49"/>
      <c r="J48" s="50">
        <v>0.29699999999999999</v>
      </c>
      <c r="K48" s="484"/>
      <c r="L48" s="484"/>
      <c r="M48" s="484"/>
      <c r="N48" s="484"/>
      <c r="O48" s="484"/>
      <c r="P48" s="489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502">
        <v>7</v>
      </c>
      <c r="C49" s="505">
        <f t="shared" ref="C49" si="30">+C44+$N$12</f>
        <v>4.75</v>
      </c>
      <c r="D49" s="482">
        <v>0.75</v>
      </c>
      <c r="E49" s="482">
        <v>0.69</v>
      </c>
      <c r="F49" s="36" t="s">
        <v>75</v>
      </c>
      <c r="G49" s="37">
        <v>0</v>
      </c>
      <c r="H49" s="38"/>
      <c r="I49" s="39"/>
      <c r="J49" s="40">
        <v>0.16</v>
      </c>
      <c r="K49" s="482">
        <f t="shared" ref="K49" si="31">+IF(E49&lt;=0.12,(J51),(IF(E49&lt;0.16,((J50+2*J51+J52)/4),IF(E49&gt;=0.16,((J49+3*J50+2*J51+3*J52+J53)/10)))))</f>
        <v>0.27240000000000003</v>
      </c>
      <c r="L49" s="482">
        <f t="shared" ref="L49" si="32">ROUND(+(D44+D49)/2*(C49-C44),3)</f>
        <v>0.45300000000000001</v>
      </c>
      <c r="M49" s="482">
        <f t="shared" ref="M49" si="33">ROUND(+K49*L49,4)</f>
        <v>0.1234</v>
      </c>
      <c r="N49" s="485">
        <f>ROUND(+M49/$M$138*100,2)</f>
        <v>6.24</v>
      </c>
      <c r="O49" s="486"/>
      <c r="P49" s="48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503"/>
      <c r="C50" s="483"/>
      <c r="D50" s="483"/>
      <c r="E50" s="483"/>
      <c r="F50" s="41" t="s">
        <v>76</v>
      </c>
      <c r="G50" s="42">
        <f t="shared" ref="G50" si="34">IF(E49&lt;0.125,"NA",IF(0.125&lt;=E49,(0.2*E49)))</f>
        <v>0.13799999999999998</v>
      </c>
      <c r="H50" s="43"/>
      <c r="I50" s="44"/>
      <c r="J50" s="45">
        <v>0.25900000000000001</v>
      </c>
      <c r="K50" s="483"/>
      <c r="L50" s="483"/>
      <c r="M50" s="483"/>
      <c r="N50" s="483"/>
      <c r="O50" s="483"/>
      <c r="P50" s="488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503"/>
      <c r="C51" s="483"/>
      <c r="D51" s="483"/>
      <c r="E51" s="483"/>
      <c r="F51" s="41" t="s">
        <v>77</v>
      </c>
      <c r="G51" s="42">
        <f t="shared" ref="G51" si="35">+E49*0.4</f>
        <v>0.27599999999999997</v>
      </c>
      <c r="H51" s="43"/>
      <c r="I51" s="44"/>
      <c r="J51" s="45">
        <v>0.29699999999999999</v>
      </c>
      <c r="K51" s="483"/>
      <c r="L51" s="483"/>
      <c r="M51" s="483"/>
      <c r="N51" s="483"/>
      <c r="O51" s="483"/>
      <c r="P51" s="488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503"/>
      <c r="C52" s="483"/>
      <c r="D52" s="483"/>
      <c r="E52" s="483"/>
      <c r="F52" s="41" t="s">
        <v>78</v>
      </c>
      <c r="G52" s="42">
        <f t="shared" ref="G52" si="36">IF(E49&lt;0.125,"NA",IF(0.125&lt;=E49,(0.8*E49)))</f>
        <v>0.55199999999999994</v>
      </c>
      <c r="H52" s="43"/>
      <c r="I52" s="44"/>
      <c r="J52" s="45">
        <v>0.29599999999999999</v>
      </c>
      <c r="K52" s="483"/>
      <c r="L52" s="483"/>
      <c r="M52" s="483"/>
      <c r="N52" s="483"/>
      <c r="O52" s="483"/>
      <c r="P52" s="488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504"/>
      <c r="C53" s="484"/>
      <c r="D53" s="484"/>
      <c r="E53" s="484"/>
      <c r="F53" s="46" t="s">
        <v>79</v>
      </c>
      <c r="G53" s="47">
        <f t="shared" ref="G53" si="37">+E49</f>
        <v>0.69</v>
      </c>
      <c r="H53" s="48"/>
      <c r="I53" s="49"/>
      <c r="J53" s="50">
        <v>0.30499999999999999</v>
      </c>
      <c r="K53" s="484"/>
      <c r="L53" s="484"/>
      <c r="M53" s="484"/>
      <c r="N53" s="484"/>
      <c r="O53" s="484"/>
      <c r="P53" s="489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502">
        <v>8</v>
      </c>
      <c r="C54" s="505">
        <f t="shared" ref="C54" si="38">+C49+$N$12</f>
        <v>5.35</v>
      </c>
      <c r="D54" s="482">
        <v>0.755</v>
      </c>
      <c r="E54" s="482">
        <v>0.81499999999999995</v>
      </c>
      <c r="F54" s="36" t="s">
        <v>75</v>
      </c>
      <c r="G54" s="37">
        <v>0</v>
      </c>
      <c r="H54" s="38"/>
      <c r="I54" s="39"/>
      <c r="J54" s="40"/>
      <c r="K54" s="482"/>
      <c r="L54" s="482"/>
      <c r="M54" s="482"/>
      <c r="N54" s="485"/>
      <c r="O54" s="486"/>
      <c r="P54" s="48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503"/>
      <c r="C55" s="483"/>
      <c r="D55" s="483"/>
      <c r="E55" s="483"/>
      <c r="F55" s="41" t="s">
        <v>76</v>
      </c>
      <c r="G55" s="42">
        <f t="shared" ref="G55" si="39">IF(E54&lt;0.125,"NA",IF(0.125&lt;=E54,(0.2*E54)))</f>
        <v>0.16300000000000001</v>
      </c>
      <c r="H55" s="43"/>
      <c r="I55" s="44"/>
      <c r="J55" s="45"/>
      <c r="K55" s="483"/>
      <c r="L55" s="483"/>
      <c r="M55" s="483"/>
      <c r="N55" s="483"/>
      <c r="O55" s="483"/>
      <c r="P55" s="488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503"/>
      <c r="C56" s="483"/>
      <c r="D56" s="483"/>
      <c r="E56" s="483"/>
      <c r="F56" s="41" t="s">
        <v>77</v>
      </c>
      <c r="G56" s="42">
        <f t="shared" ref="G56" si="40">+E54*0.4</f>
        <v>0.32600000000000001</v>
      </c>
      <c r="H56" s="43"/>
      <c r="I56" s="44"/>
      <c r="J56" s="45"/>
      <c r="K56" s="483"/>
      <c r="L56" s="483"/>
      <c r="M56" s="483"/>
      <c r="N56" s="483"/>
      <c r="O56" s="483"/>
      <c r="P56" s="488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503"/>
      <c r="C57" s="483"/>
      <c r="D57" s="483"/>
      <c r="E57" s="483"/>
      <c r="F57" s="41" t="s">
        <v>78</v>
      </c>
      <c r="G57" s="42">
        <f t="shared" ref="G57" si="41">IF(E54&lt;0.125,"NA",IF(0.125&lt;=E54,(0.8*E54)))</f>
        <v>0.65200000000000002</v>
      </c>
      <c r="H57" s="43"/>
      <c r="I57" s="44"/>
      <c r="J57" s="45"/>
      <c r="K57" s="483"/>
      <c r="L57" s="483"/>
      <c r="M57" s="483"/>
      <c r="N57" s="483"/>
      <c r="O57" s="483"/>
      <c r="P57" s="488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504"/>
      <c r="C58" s="484"/>
      <c r="D58" s="484"/>
      <c r="E58" s="484"/>
      <c r="F58" s="46" t="s">
        <v>79</v>
      </c>
      <c r="G58" s="47">
        <f t="shared" ref="G58" si="42">+E54</f>
        <v>0.81499999999999995</v>
      </c>
      <c r="H58" s="48"/>
      <c r="I58" s="49"/>
      <c r="J58" s="50"/>
      <c r="K58" s="484"/>
      <c r="L58" s="484"/>
      <c r="M58" s="484"/>
      <c r="N58" s="484"/>
      <c r="O58" s="484"/>
      <c r="P58" s="489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502">
        <v>9</v>
      </c>
      <c r="C59" s="505">
        <f t="shared" ref="C59:C74" si="43">+C54+$N$12</f>
        <v>5.9499999999999993</v>
      </c>
      <c r="D59" s="482">
        <v>0.72</v>
      </c>
      <c r="E59" s="482">
        <v>0.752</v>
      </c>
      <c r="F59" s="36" t="s">
        <v>75</v>
      </c>
      <c r="G59" s="37">
        <v>0</v>
      </c>
      <c r="H59" s="38"/>
      <c r="I59" s="39"/>
      <c r="J59" s="40">
        <v>0.189</v>
      </c>
      <c r="K59" s="482">
        <f t="shared" ref="K59" si="44">+IF(E59&lt;=0.12,(J61),(IF(E59&lt;0.16,((J60+2*J61+J62)/4),IF(E59&gt;=0.16,((J59+3*J60+2*J61+3*J62+J63)/10)))))</f>
        <v>0.32090000000000002</v>
      </c>
      <c r="L59" s="482">
        <f>ROUND(+(D54+D59)/2*(C59-C54),3)</f>
        <v>0.443</v>
      </c>
      <c r="M59" s="482">
        <f t="shared" ref="M59" si="45">ROUND(+K59*L59,4)</f>
        <v>0.14219999999999999</v>
      </c>
      <c r="N59" s="485">
        <f>ROUND(+M59/$M$138*100,2)</f>
        <v>7.19</v>
      </c>
      <c r="O59" s="486"/>
      <c r="P59" s="48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503"/>
      <c r="C60" s="483"/>
      <c r="D60" s="483"/>
      <c r="E60" s="483"/>
      <c r="F60" s="41" t="s">
        <v>76</v>
      </c>
      <c r="G60" s="42">
        <f t="shared" ref="G60" si="46">IF(E59&lt;0.125,"NA",IF(0.125&lt;=E59,(0.2*E59)))</f>
        <v>0.15040000000000001</v>
      </c>
      <c r="H60" s="43"/>
      <c r="I60" s="44"/>
      <c r="J60" s="45">
        <v>0.311</v>
      </c>
      <c r="K60" s="483"/>
      <c r="L60" s="483"/>
      <c r="M60" s="483"/>
      <c r="N60" s="483"/>
      <c r="O60" s="483"/>
      <c r="P60" s="488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503"/>
      <c r="C61" s="483"/>
      <c r="D61" s="483"/>
      <c r="E61" s="483"/>
      <c r="F61" s="41" t="s">
        <v>77</v>
      </c>
      <c r="G61" s="42">
        <f t="shared" ref="G61" si="47">+E59*0.4</f>
        <v>0.30080000000000001</v>
      </c>
      <c r="H61" s="43"/>
      <c r="I61" s="44"/>
      <c r="J61" s="45">
        <v>0.3</v>
      </c>
      <c r="K61" s="483"/>
      <c r="L61" s="483"/>
      <c r="M61" s="483"/>
      <c r="N61" s="483"/>
      <c r="O61" s="483"/>
      <c r="P61" s="488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503"/>
      <c r="C62" s="483"/>
      <c r="D62" s="483"/>
      <c r="E62" s="483"/>
      <c r="F62" s="41" t="s">
        <v>78</v>
      </c>
      <c r="G62" s="42">
        <f t="shared" ref="G62" si="48">IF(E59&lt;0.125,"NA",IF(0.125&lt;=E59,(0.8*E59)))</f>
        <v>0.60160000000000002</v>
      </c>
      <c r="H62" s="43"/>
      <c r="I62" s="44"/>
      <c r="J62" s="45">
        <v>0.372</v>
      </c>
      <c r="K62" s="483"/>
      <c r="L62" s="483"/>
      <c r="M62" s="483"/>
      <c r="N62" s="483"/>
      <c r="O62" s="483"/>
      <c r="P62" s="488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504"/>
      <c r="C63" s="484"/>
      <c r="D63" s="484"/>
      <c r="E63" s="484"/>
      <c r="F63" s="46" t="s">
        <v>79</v>
      </c>
      <c r="G63" s="47">
        <f t="shared" ref="G63" si="49">+E59</f>
        <v>0.752</v>
      </c>
      <c r="H63" s="48"/>
      <c r="I63" s="49"/>
      <c r="J63" s="50">
        <v>0.371</v>
      </c>
      <c r="K63" s="484"/>
      <c r="L63" s="484"/>
      <c r="M63" s="484"/>
      <c r="N63" s="484"/>
      <c r="O63" s="484"/>
      <c r="P63" s="489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502">
        <v>10</v>
      </c>
      <c r="C64" s="505">
        <f t="shared" si="43"/>
        <v>6.5499999999999989</v>
      </c>
      <c r="D64" s="482">
        <v>0.69799999999999995</v>
      </c>
      <c r="E64" s="482">
        <v>0.71499999999999997</v>
      </c>
      <c r="F64" s="36" t="s">
        <v>75</v>
      </c>
      <c r="G64" s="37">
        <v>0</v>
      </c>
      <c r="H64" s="38"/>
      <c r="I64" s="39"/>
      <c r="J64" s="40">
        <v>0.27800000000000002</v>
      </c>
      <c r="K64" s="482">
        <f t="shared" ref="K64" si="50">+IF(E64&lt;=0.12,(J66),(IF(E64&lt;0.16,((J65+2*J66+J67)/4),IF(E64&gt;=0.16,((J64+3*J65+2*J66+3*J67+J68)/10)))))</f>
        <v>0.38070000000000004</v>
      </c>
      <c r="L64" s="482">
        <f>ROUND(+(D59+D64)/2*(C64-C59),3)</f>
        <v>0.42499999999999999</v>
      </c>
      <c r="M64" s="482">
        <f t="shared" ref="M64" si="51">ROUND(+K64*L64,4)</f>
        <v>0.1618</v>
      </c>
      <c r="N64" s="485">
        <f>ROUND(+M64/$M$138*100,2)</f>
        <v>8.18</v>
      </c>
      <c r="O64" s="486"/>
      <c r="P64" s="48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503"/>
      <c r="C65" s="483"/>
      <c r="D65" s="483"/>
      <c r="E65" s="483"/>
      <c r="F65" s="41" t="s">
        <v>76</v>
      </c>
      <c r="G65" s="42">
        <f t="shared" ref="G65" si="52">IF(E64&lt;0.125,"NA",IF(0.125&lt;=E64,(0.2*E64)))</f>
        <v>0.14299999999999999</v>
      </c>
      <c r="H65" s="43"/>
      <c r="I65" s="44"/>
      <c r="J65" s="45">
        <v>0.29899999999999999</v>
      </c>
      <c r="K65" s="483"/>
      <c r="L65" s="483"/>
      <c r="M65" s="483"/>
      <c r="N65" s="483"/>
      <c r="O65" s="483"/>
      <c r="P65" s="488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503"/>
      <c r="C66" s="483"/>
      <c r="D66" s="483"/>
      <c r="E66" s="483"/>
      <c r="F66" s="41" t="s">
        <v>77</v>
      </c>
      <c r="G66" s="42">
        <f t="shared" ref="G66" si="53">+E64*0.4</f>
        <v>0.28599999999999998</v>
      </c>
      <c r="H66" s="43"/>
      <c r="I66" s="44"/>
      <c r="J66" s="45">
        <v>0.378</v>
      </c>
      <c r="K66" s="483"/>
      <c r="L66" s="483"/>
      <c r="M66" s="483"/>
      <c r="N66" s="483"/>
      <c r="O66" s="483"/>
      <c r="P66" s="488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503"/>
      <c r="C67" s="483"/>
      <c r="D67" s="483"/>
      <c r="E67" s="483"/>
      <c r="F67" s="41" t="s">
        <v>78</v>
      </c>
      <c r="G67" s="42">
        <f t="shared" ref="G67" si="54">IF(E64&lt;0.125,"NA",IF(0.125&lt;=E64,(0.8*E64)))</f>
        <v>0.57199999999999995</v>
      </c>
      <c r="H67" s="43"/>
      <c r="I67" s="44"/>
      <c r="J67" s="45">
        <v>0.48599999999999999</v>
      </c>
      <c r="K67" s="483"/>
      <c r="L67" s="483"/>
      <c r="M67" s="483"/>
      <c r="N67" s="483"/>
      <c r="O67" s="483"/>
      <c r="P67" s="488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504"/>
      <c r="C68" s="484"/>
      <c r="D68" s="484"/>
      <c r="E68" s="484"/>
      <c r="F68" s="46" t="s">
        <v>79</v>
      </c>
      <c r="G68" s="47">
        <f t="shared" ref="G68" si="55">+E64</f>
        <v>0.71499999999999997</v>
      </c>
      <c r="H68" s="48"/>
      <c r="I68" s="49"/>
      <c r="J68" s="50">
        <v>0.41799999999999998</v>
      </c>
      <c r="K68" s="484"/>
      <c r="L68" s="484"/>
      <c r="M68" s="484"/>
      <c r="N68" s="484"/>
      <c r="O68" s="484"/>
      <c r="P68" s="489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502">
        <v>11</v>
      </c>
      <c r="C69" s="505">
        <f t="shared" si="43"/>
        <v>7.1499999999999986</v>
      </c>
      <c r="D69" s="482">
        <v>0.68</v>
      </c>
      <c r="E69" s="482">
        <v>0.73</v>
      </c>
      <c r="F69" s="36" t="s">
        <v>75</v>
      </c>
      <c r="G69" s="37">
        <v>0</v>
      </c>
      <c r="H69" s="38"/>
      <c r="I69" s="39"/>
      <c r="J69" s="40">
        <v>0.34200000000000003</v>
      </c>
      <c r="K69" s="482">
        <f t="shared" ref="K69" si="56">+IF(E69&lt;=0.12,(J71),(IF(E69&lt;0.16,((J70+2*J71+J72)/4),IF(E69&gt;=0.16,((J69+3*J70+2*J71+3*J72+J73)/10)))))</f>
        <v>0.47599999999999998</v>
      </c>
      <c r="L69" s="482">
        <f>ROUND(+(D64+D69)/2*(C69-C64),3)</f>
        <v>0.41299999999999998</v>
      </c>
      <c r="M69" s="482">
        <f t="shared" ref="M69" si="57">ROUND(+K69*L69,4)</f>
        <v>0.1966</v>
      </c>
      <c r="N69" s="485">
        <f>ROUND(+M69/$M$138*100,2)</f>
        <v>9.94</v>
      </c>
      <c r="O69" s="486"/>
      <c r="P69" s="48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503"/>
      <c r="C70" s="483"/>
      <c r="D70" s="483"/>
      <c r="E70" s="483"/>
      <c r="F70" s="41" t="s">
        <v>76</v>
      </c>
      <c r="G70" s="42">
        <f t="shared" ref="G70" si="58">IF(E69&lt;0.125,"NA",IF(0.125&lt;=E69,(0.2*E69)))</f>
        <v>0.14599999999999999</v>
      </c>
      <c r="H70" s="43"/>
      <c r="I70" s="44"/>
      <c r="J70" s="45">
        <v>0.46500000000000002</v>
      </c>
      <c r="K70" s="483"/>
      <c r="L70" s="483"/>
      <c r="M70" s="483"/>
      <c r="N70" s="483"/>
      <c r="O70" s="483"/>
      <c r="P70" s="488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503"/>
      <c r="C71" s="483"/>
      <c r="D71" s="483"/>
      <c r="E71" s="483"/>
      <c r="F71" s="41" t="s">
        <v>77</v>
      </c>
      <c r="G71" s="42">
        <f t="shared" ref="G71" si="59">+E69*0.4</f>
        <v>0.29199999999999998</v>
      </c>
      <c r="H71" s="43"/>
      <c r="I71" s="44"/>
      <c r="J71" s="45">
        <v>0.502</v>
      </c>
      <c r="K71" s="483"/>
      <c r="L71" s="483"/>
      <c r="M71" s="483"/>
      <c r="N71" s="483"/>
      <c r="O71" s="483"/>
      <c r="P71" s="488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503"/>
      <c r="C72" s="483"/>
      <c r="D72" s="483"/>
      <c r="E72" s="483"/>
      <c r="F72" s="41" t="s">
        <v>78</v>
      </c>
      <c r="G72" s="42">
        <f t="shared" ref="G72" si="60">IF(E69&lt;0.125,"NA",IF(0.125&lt;=E69,(0.8*E69)))</f>
        <v>0.58399999999999996</v>
      </c>
      <c r="H72" s="43"/>
      <c r="I72" s="44"/>
      <c r="J72" s="45">
        <v>0.51</v>
      </c>
      <c r="K72" s="483"/>
      <c r="L72" s="483"/>
      <c r="M72" s="483"/>
      <c r="N72" s="483"/>
      <c r="O72" s="483"/>
      <c r="P72" s="488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504"/>
      <c r="C73" s="484"/>
      <c r="D73" s="484"/>
      <c r="E73" s="484"/>
      <c r="F73" s="46" t="s">
        <v>79</v>
      </c>
      <c r="G73" s="47">
        <f t="shared" ref="G73" si="61">+E69</f>
        <v>0.73</v>
      </c>
      <c r="H73" s="48"/>
      <c r="I73" s="49"/>
      <c r="J73" s="50">
        <v>0.48899999999999999</v>
      </c>
      <c r="K73" s="484"/>
      <c r="L73" s="484"/>
      <c r="M73" s="484"/>
      <c r="N73" s="484"/>
      <c r="O73" s="484"/>
      <c r="P73" s="489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502">
        <v>12</v>
      </c>
      <c r="C74" s="505">
        <f t="shared" si="43"/>
        <v>7.7499999999999982</v>
      </c>
      <c r="D74" s="482">
        <v>0.66</v>
      </c>
      <c r="E74" s="482">
        <v>0.65</v>
      </c>
      <c r="F74" s="36" t="s">
        <v>75</v>
      </c>
      <c r="G74" s="37">
        <v>0</v>
      </c>
      <c r="H74" s="38"/>
      <c r="I74" s="39"/>
      <c r="J74" s="40">
        <v>0.29699999999999999</v>
      </c>
      <c r="K74" s="482">
        <f t="shared" ref="K74" si="62">+IF(E74&lt;=0.12,(J76),(IF(E74&lt;0.16,((J75+2*J76+J77)/4),IF(E74&gt;=0.16,((J74+3*J75+2*J76+3*J77+J78)/10)))))</f>
        <v>0.52970000000000006</v>
      </c>
      <c r="L74" s="482">
        <f>ROUND(+(D69+D74)/2*(C74-C69),3)</f>
        <v>0.40200000000000002</v>
      </c>
      <c r="M74" s="482">
        <f t="shared" ref="M74" si="63">ROUND(+K74*L74,4)</f>
        <v>0.21290000000000001</v>
      </c>
      <c r="N74" s="485">
        <f>ROUND(+M74/$M$138*100,2)</f>
        <v>10.76</v>
      </c>
      <c r="O74" s="486"/>
      <c r="P74" s="48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503"/>
      <c r="C75" s="483"/>
      <c r="D75" s="483"/>
      <c r="E75" s="483"/>
      <c r="F75" s="41" t="s">
        <v>76</v>
      </c>
      <c r="G75" s="42">
        <f t="shared" ref="G75" si="64">IF(E74&lt;0.125,"NA",IF(0.125&lt;=E74,(0.2*E74)))</f>
        <v>0.13</v>
      </c>
      <c r="H75" s="43"/>
      <c r="I75" s="44"/>
      <c r="J75" s="45">
        <v>0.48099999999999998</v>
      </c>
      <c r="K75" s="483"/>
      <c r="L75" s="483"/>
      <c r="M75" s="483"/>
      <c r="N75" s="483"/>
      <c r="O75" s="483"/>
      <c r="P75" s="488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503"/>
      <c r="C76" s="483"/>
      <c r="D76" s="483"/>
      <c r="E76" s="483"/>
      <c r="F76" s="41" t="s">
        <v>77</v>
      </c>
      <c r="G76" s="42">
        <f t="shared" ref="G76" si="65">+E74*0.4</f>
        <v>0.26</v>
      </c>
      <c r="H76" s="43"/>
      <c r="I76" s="44"/>
      <c r="J76" s="45">
        <v>0.55000000000000004</v>
      </c>
      <c r="K76" s="483"/>
      <c r="L76" s="483"/>
      <c r="M76" s="483"/>
      <c r="N76" s="483"/>
      <c r="O76" s="483"/>
      <c r="P76" s="488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503"/>
      <c r="C77" s="483"/>
      <c r="D77" s="483"/>
      <c r="E77" s="483"/>
      <c r="F77" s="41" t="s">
        <v>78</v>
      </c>
      <c r="G77" s="42">
        <f t="shared" ref="G77" si="66">IF(E74&lt;0.125,"NA",IF(0.125&lt;=E74,(0.8*E74)))</f>
        <v>0.52</v>
      </c>
      <c r="H77" s="43"/>
      <c r="I77" s="44"/>
      <c r="J77" s="45">
        <v>0.64500000000000002</v>
      </c>
      <c r="K77" s="483"/>
      <c r="L77" s="483"/>
      <c r="M77" s="483"/>
      <c r="N77" s="483"/>
      <c r="O77" s="483"/>
      <c r="P77" s="488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504"/>
      <c r="C78" s="484"/>
      <c r="D78" s="484"/>
      <c r="E78" s="484"/>
      <c r="F78" s="46" t="s">
        <v>79</v>
      </c>
      <c r="G78" s="47">
        <f t="shared" ref="G78" si="67">+E74</f>
        <v>0.65</v>
      </c>
      <c r="H78" s="48"/>
      <c r="I78" s="49"/>
      <c r="J78" s="50">
        <v>0.52200000000000002</v>
      </c>
      <c r="K78" s="484"/>
      <c r="L78" s="484"/>
      <c r="M78" s="484"/>
      <c r="N78" s="484"/>
      <c r="O78" s="484"/>
      <c r="P78" s="489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502">
        <v>13</v>
      </c>
      <c r="C79" s="505">
        <f>+C74+$N$12</f>
        <v>8.3499999999999979</v>
      </c>
      <c r="D79" s="482">
        <v>0.61</v>
      </c>
      <c r="E79" s="482">
        <v>0.66</v>
      </c>
      <c r="F79" s="36" t="s">
        <v>75</v>
      </c>
      <c r="G79" s="37">
        <v>0</v>
      </c>
      <c r="H79" s="38"/>
      <c r="I79" s="39"/>
      <c r="J79" s="40">
        <v>0.114</v>
      </c>
      <c r="K79" s="482">
        <f t="shared" ref="K79" si="68">+IF(E79&lt;=0.12,(J81),(IF(E79&lt;0.16,((J80+2*J81+J82)/4),IF(E79&gt;=0.16,((J79+3*J80+2*J81+3*J82+J83)/10)))))</f>
        <v>0.43289999999999995</v>
      </c>
      <c r="L79" s="482">
        <f>ROUND(+(D74+D79)/2*(C79-C74),3)</f>
        <v>0.38100000000000001</v>
      </c>
      <c r="M79" s="482">
        <f t="shared" ref="M79" si="69">ROUND(+K79*L79,4)</f>
        <v>0.16489999999999999</v>
      </c>
      <c r="N79" s="485">
        <f>ROUND(+M79/$M$138*100,2)</f>
        <v>8.33</v>
      </c>
      <c r="O79" s="486"/>
      <c r="P79" s="48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503"/>
      <c r="C80" s="483"/>
      <c r="D80" s="483"/>
      <c r="E80" s="483"/>
      <c r="F80" s="41" t="s">
        <v>76</v>
      </c>
      <c r="G80" s="42">
        <f t="shared" ref="G80" si="70">IF(E79&lt;0.125,"NA",IF(0.125&lt;=E79,(0.2*E79)))</f>
        <v>0.13200000000000001</v>
      </c>
      <c r="H80" s="43"/>
      <c r="I80" s="44"/>
      <c r="J80" s="45">
        <v>0.32600000000000001</v>
      </c>
      <c r="K80" s="483"/>
      <c r="L80" s="483"/>
      <c r="M80" s="483"/>
      <c r="N80" s="483"/>
      <c r="O80" s="483"/>
      <c r="P80" s="488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503"/>
      <c r="C81" s="483"/>
      <c r="D81" s="483"/>
      <c r="E81" s="483"/>
      <c r="F81" s="41" t="s">
        <v>77</v>
      </c>
      <c r="G81" s="42">
        <f t="shared" ref="G81" si="71">+E79*0.4</f>
        <v>0.26400000000000001</v>
      </c>
      <c r="H81" s="43"/>
      <c r="I81" s="44"/>
      <c r="J81" s="45">
        <v>0.51600000000000001</v>
      </c>
      <c r="K81" s="483"/>
      <c r="L81" s="483"/>
      <c r="M81" s="483"/>
      <c r="N81" s="483"/>
      <c r="O81" s="483"/>
      <c r="P81" s="488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503"/>
      <c r="C82" s="483"/>
      <c r="D82" s="483"/>
      <c r="E82" s="483"/>
      <c r="F82" s="41" t="s">
        <v>78</v>
      </c>
      <c r="G82" s="42">
        <f t="shared" ref="G82" si="72">IF(E79&lt;0.125,"NA",IF(0.125&lt;=E79,(0.8*E79)))</f>
        <v>0.52800000000000002</v>
      </c>
      <c r="H82" s="43"/>
      <c r="I82" s="44"/>
      <c r="J82" s="45">
        <v>0.55800000000000005</v>
      </c>
      <c r="K82" s="483"/>
      <c r="L82" s="483"/>
      <c r="M82" s="483"/>
      <c r="N82" s="483"/>
      <c r="O82" s="483"/>
      <c r="P82" s="488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504"/>
      <c r="C83" s="484"/>
      <c r="D83" s="484"/>
      <c r="E83" s="484"/>
      <c r="F83" s="46" t="s">
        <v>79</v>
      </c>
      <c r="G83" s="47">
        <f t="shared" ref="G83" si="73">+E79</f>
        <v>0.66</v>
      </c>
      <c r="H83" s="48"/>
      <c r="I83" s="49"/>
      <c r="J83" s="50">
        <v>0.53100000000000003</v>
      </c>
      <c r="K83" s="484"/>
      <c r="L83" s="484"/>
      <c r="M83" s="484"/>
      <c r="N83" s="484"/>
      <c r="O83" s="484"/>
      <c r="P83" s="489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502">
        <v>14</v>
      </c>
      <c r="C84" s="505">
        <f>+C79+$N$12</f>
        <v>8.9499999999999975</v>
      </c>
      <c r="D84" s="482">
        <v>0.58899999999999997</v>
      </c>
      <c r="E84" s="482">
        <v>0.58499999999999996</v>
      </c>
      <c r="F84" s="36" t="s">
        <v>75</v>
      </c>
      <c r="G84" s="37">
        <v>0</v>
      </c>
      <c r="H84" s="38"/>
      <c r="I84" s="39"/>
      <c r="J84" s="40">
        <v>0.40799999999999997</v>
      </c>
      <c r="K84" s="482">
        <f t="shared" ref="K84" si="74">+IF(E84&lt;=0.12,(J86),(IF(E84&lt;0.16,((J85+2*J86+J87)/4),IF(E84&gt;=0.16,((J84+3*J85+2*J86+3*J87+J88)/10)))))</f>
        <v>0.53199999999999992</v>
      </c>
      <c r="L84" s="482">
        <f t="shared" ref="L84" si="75">ROUND(+(D79+D84)/2*(C84-C79),3)</f>
        <v>0.36</v>
      </c>
      <c r="M84" s="482">
        <f t="shared" ref="M84" si="76">ROUND(+K84*L84,4)</f>
        <v>0.1915</v>
      </c>
      <c r="N84" s="485">
        <f>ROUND(+M84/$M$138*100,2)</f>
        <v>9.68</v>
      </c>
      <c r="O84" s="486"/>
      <c r="P84" s="48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503"/>
      <c r="C85" s="483"/>
      <c r="D85" s="483"/>
      <c r="E85" s="483"/>
      <c r="F85" s="41" t="s">
        <v>76</v>
      </c>
      <c r="G85" s="42">
        <f t="shared" ref="G85" si="77">IF(E84&lt;0.125,"NA",IF(0.125&lt;=E84,(0.2*E84)))</f>
        <v>0.11699999999999999</v>
      </c>
      <c r="H85" s="43"/>
      <c r="I85" s="44"/>
      <c r="J85" s="45">
        <v>0.54100000000000004</v>
      </c>
      <c r="K85" s="483"/>
      <c r="L85" s="483"/>
      <c r="M85" s="483"/>
      <c r="N85" s="483"/>
      <c r="O85" s="483"/>
      <c r="P85" s="488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503"/>
      <c r="C86" s="483"/>
      <c r="D86" s="483"/>
      <c r="E86" s="483"/>
      <c r="F86" s="41" t="s">
        <v>77</v>
      </c>
      <c r="G86" s="42">
        <f t="shared" ref="G86" si="78">+E84*0.4</f>
        <v>0.23399999999999999</v>
      </c>
      <c r="H86" s="43"/>
      <c r="I86" s="44"/>
      <c r="J86" s="45">
        <v>0.57199999999999995</v>
      </c>
      <c r="K86" s="483"/>
      <c r="L86" s="483"/>
      <c r="M86" s="483"/>
      <c r="N86" s="483"/>
      <c r="O86" s="483"/>
      <c r="P86" s="488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503"/>
      <c r="C87" s="483"/>
      <c r="D87" s="483"/>
      <c r="E87" s="483"/>
      <c r="F87" s="41" t="s">
        <v>78</v>
      </c>
      <c r="G87" s="42">
        <f t="shared" ref="G87" si="79">IF(E84&lt;0.125,"NA",IF(0.125&lt;=E84,(0.8*E84)))</f>
        <v>0.46799999999999997</v>
      </c>
      <c r="H87" s="43"/>
      <c r="I87" s="44"/>
      <c r="J87" s="45">
        <v>0.57799999999999996</v>
      </c>
      <c r="K87" s="483"/>
      <c r="L87" s="483"/>
      <c r="M87" s="483"/>
      <c r="N87" s="483"/>
      <c r="O87" s="483"/>
      <c r="P87" s="488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504"/>
      <c r="C88" s="484"/>
      <c r="D88" s="484"/>
      <c r="E88" s="484"/>
      <c r="F88" s="46" t="s">
        <v>79</v>
      </c>
      <c r="G88" s="47">
        <f t="shared" ref="G88" si="80">+E84</f>
        <v>0.58499999999999996</v>
      </c>
      <c r="H88" s="48"/>
      <c r="I88" s="49"/>
      <c r="J88" s="50">
        <v>0.41099999999999998</v>
      </c>
      <c r="K88" s="484"/>
      <c r="L88" s="484"/>
      <c r="M88" s="484"/>
      <c r="N88" s="484"/>
      <c r="O88" s="484"/>
      <c r="P88" s="489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502">
        <v>15</v>
      </c>
      <c r="C89" s="505">
        <f t="shared" ref="C89" si="81">+C84+$N$12</f>
        <v>9.5499999999999972</v>
      </c>
      <c r="D89" s="482">
        <v>0.45</v>
      </c>
      <c r="E89" s="482">
        <v>0.52700000000000002</v>
      </c>
      <c r="F89" s="36" t="s">
        <v>75</v>
      </c>
      <c r="G89" s="37">
        <v>0</v>
      </c>
      <c r="H89" s="38"/>
      <c r="I89" s="39"/>
      <c r="J89" s="40">
        <v>0.442</v>
      </c>
      <c r="K89" s="482">
        <f t="shared" ref="K89" si="82">+IF(E89&lt;=0.12,(J91),(IF(E89&lt;0.16,((J90+2*J91+J92)/4),IF(E89&gt;=0.16,((J89+3*J90+2*J91+3*J92+J93)/10)))))</f>
        <v>0.5302</v>
      </c>
      <c r="L89" s="482">
        <f>ROUND(+(D84+D89)/2*(C89-C84),3)</f>
        <v>0.312</v>
      </c>
      <c r="M89" s="482">
        <f t="shared" ref="M89" si="83">ROUND(+K89*L89,4)</f>
        <v>0.16539999999999999</v>
      </c>
      <c r="N89" s="485">
        <f>ROUND(+M89/$M$138*100,2)</f>
        <v>8.36</v>
      </c>
      <c r="O89" s="486"/>
      <c r="P89" s="48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503"/>
      <c r="C90" s="483"/>
      <c r="D90" s="483"/>
      <c r="E90" s="483"/>
      <c r="F90" s="41" t="s">
        <v>76</v>
      </c>
      <c r="G90" s="42">
        <f t="shared" ref="G90" si="84">IF(E89&lt;0.125,"NA",IF(0.125&lt;=E89,(0.2*E89)))</f>
        <v>0.10540000000000001</v>
      </c>
      <c r="H90" s="43"/>
      <c r="I90" s="44"/>
      <c r="J90" s="45">
        <v>0.49399999999999999</v>
      </c>
      <c r="K90" s="483"/>
      <c r="L90" s="483"/>
      <c r="M90" s="483"/>
      <c r="N90" s="483"/>
      <c r="O90" s="483"/>
      <c r="P90" s="488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503"/>
      <c r="C91" s="483"/>
      <c r="D91" s="483"/>
      <c r="E91" s="483"/>
      <c r="F91" s="41" t="s">
        <v>77</v>
      </c>
      <c r="G91" s="42">
        <f t="shared" ref="G91" si="85">+E89*0.4</f>
        <v>0.21080000000000002</v>
      </c>
      <c r="H91" s="43"/>
      <c r="I91" s="44"/>
      <c r="J91" s="45">
        <v>0.58899999999999997</v>
      </c>
      <c r="K91" s="483"/>
      <c r="L91" s="483"/>
      <c r="M91" s="483"/>
      <c r="N91" s="483"/>
      <c r="O91" s="483"/>
      <c r="P91" s="488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503"/>
      <c r="C92" s="483"/>
      <c r="D92" s="483"/>
      <c r="E92" s="483"/>
      <c r="F92" s="41" t="s">
        <v>78</v>
      </c>
      <c r="G92" s="42">
        <f t="shared" ref="G92" si="86">IF(E89&lt;0.125,"NA",IF(0.125&lt;=E89,(0.8*E89)))</f>
        <v>0.42160000000000003</v>
      </c>
      <c r="H92" s="43"/>
      <c r="I92" s="44"/>
      <c r="J92" s="45">
        <v>0.56899999999999995</v>
      </c>
      <c r="K92" s="483"/>
      <c r="L92" s="483"/>
      <c r="M92" s="483"/>
      <c r="N92" s="483"/>
      <c r="O92" s="483"/>
      <c r="P92" s="488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504"/>
      <c r="C93" s="484"/>
      <c r="D93" s="484"/>
      <c r="E93" s="484"/>
      <c r="F93" s="46" t="s">
        <v>79</v>
      </c>
      <c r="G93" s="47">
        <f t="shared" ref="G93" si="87">+E89</f>
        <v>0.52700000000000002</v>
      </c>
      <c r="H93" s="48"/>
      <c r="I93" s="49"/>
      <c r="J93" s="50">
        <v>0.49299999999999999</v>
      </c>
      <c r="K93" s="484"/>
      <c r="L93" s="484"/>
      <c r="M93" s="484"/>
      <c r="N93" s="484"/>
      <c r="O93" s="484"/>
      <c r="P93" s="489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502">
        <v>16</v>
      </c>
      <c r="C94" s="505">
        <f t="shared" ref="C94:C109" si="88">+C89+$N$12</f>
        <v>10.149999999999997</v>
      </c>
      <c r="D94" s="482">
        <v>0.3</v>
      </c>
      <c r="E94" s="482">
        <v>0.42799999999999999</v>
      </c>
      <c r="F94" s="36" t="s">
        <v>75</v>
      </c>
      <c r="G94" s="37">
        <v>0</v>
      </c>
      <c r="H94" s="38"/>
      <c r="I94" s="39"/>
      <c r="J94" s="40">
        <v>0.40899999999999997</v>
      </c>
      <c r="K94" s="482">
        <f t="shared" ref="K94" si="89">+IF(E94&lt;=0.12,(J96),(IF(E94&lt;0.16,((J95+2*J96+J97)/4),IF(E94&gt;=0.16,((J94+3*J95+2*J96+3*J97+J98)/10)))))</f>
        <v>0.49409999999999998</v>
      </c>
      <c r="L94" s="482">
        <f>ROUND(+(D89+D94)/2*(C94-C89),3)</f>
        <v>0.22500000000000001</v>
      </c>
      <c r="M94" s="482">
        <f t="shared" ref="M94" si="90">ROUND(+K94*L94,4)</f>
        <v>0.11119999999999999</v>
      </c>
      <c r="N94" s="485">
        <f>ROUND(+M94/$M$138*100,2)</f>
        <v>5.62</v>
      </c>
      <c r="O94" s="486"/>
      <c r="P94" s="48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503"/>
      <c r="C95" s="483"/>
      <c r="D95" s="483"/>
      <c r="E95" s="483"/>
      <c r="F95" s="41" t="s">
        <v>76</v>
      </c>
      <c r="G95" s="42">
        <f t="shared" ref="G95" si="91">IF(E94&lt;0.125,"NA",IF(0.125&lt;=E94,(0.2*E94)))</f>
        <v>8.5600000000000009E-2</v>
      </c>
      <c r="H95" s="43"/>
      <c r="I95" s="44"/>
      <c r="J95" s="45">
        <v>0.48699999999999999</v>
      </c>
      <c r="K95" s="483"/>
      <c r="L95" s="483"/>
      <c r="M95" s="483"/>
      <c r="N95" s="483"/>
      <c r="O95" s="483"/>
      <c r="P95" s="488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503"/>
      <c r="C96" s="483"/>
      <c r="D96" s="483"/>
      <c r="E96" s="483"/>
      <c r="F96" s="41" t="s">
        <v>77</v>
      </c>
      <c r="G96" s="42">
        <f t="shared" ref="G96" si="92">+E94*0.4</f>
        <v>0.17120000000000002</v>
      </c>
      <c r="H96" s="43"/>
      <c r="I96" s="44"/>
      <c r="J96" s="45">
        <v>0.47299999999999998</v>
      </c>
      <c r="K96" s="483"/>
      <c r="L96" s="483"/>
      <c r="M96" s="483"/>
      <c r="N96" s="483"/>
      <c r="O96" s="483"/>
      <c r="P96" s="488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503"/>
      <c r="C97" s="483"/>
      <c r="D97" s="483"/>
      <c r="E97" s="483"/>
      <c r="F97" s="41" t="s">
        <v>78</v>
      </c>
      <c r="G97" s="42">
        <f t="shared" ref="G97" si="93">IF(E94&lt;0.125,"NA",IF(0.125&lt;=E94,(0.8*E94)))</f>
        <v>0.34240000000000004</v>
      </c>
      <c r="H97" s="43"/>
      <c r="I97" s="44"/>
      <c r="J97" s="45">
        <v>0.52300000000000002</v>
      </c>
      <c r="K97" s="483"/>
      <c r="L97" s="483"/>
      <c r="M97" s="483"/>
      <c r="N97" s="483"/>
      <c r="O97" s="483"/>
      <c r="P97" s="488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504"/>
      <c r="C98" s="484"/>
      <c r="D98" s="484"/>
      <c r="E98" s="484"/>
      <c r="F98" s="46" t="s">
        <v>79</v>
      </c>
      <c r="G98" s="47">
        <f t="shared" ref="G98" si="94">+E94</f>
        <v>0.42799999999999999</v>
      </c>
      <c r="H98" s="48"/>
      <c r="I98" s="49"/>
      <c r="J98" s="50">
        <v>0.55600000000000005</v>
      </c>
      <c r="K98" s="484"/>
      <c r="L98" s="484"/>
      <c r="M98" s="484"/>
      <c r="N98" s="484"/>
      <c r="O98" s="484"/>
      <c r="P98" s="489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502">
        <v>17</v>
      </c>
      <c r="C99" s="505">
        <f t="shared" si="88"/>
        <v>10.749999999999996</v>
      </c>
      <c r="D99" s="482">
        <v>0.2</v>
      </c>
      <c r="E99" s="482">
        <v>0.23699999999999999</v>
      </c>
      <c r="F99" s="36" t="s">
        <v>75</v>
      </c>
      <c r="G99" s="37">
        <v>0</v>
      </c>
      <c r="H99" s="38"/>
      <c r="I99" s="39"/>
      <c r="J99" s="40">
        <v>0.33</v>
      </c>
      <c r="K99" s="482">
        <f t="shared" ref="K99" si="95">+IF(E99&lt;=0.12,(J101),(IF(E99&lt;0.16,((J100+2*J101+J102)/4),IF(E99&gt;=0.16,((J99+3*J100+2*J101+3*J102+J103)/10)))))</f>
        <v>0.48520000000000002</v>
      </c>
      <c r="L99" s="482">
        <f>ROUND(+(D94+D99)/2*(C99-C94),3)</f>
        <v>0.15</v>
      </c>
      <c r="M99" s="482">
        <f t="shared" ref="M99" si="96">ROUND(+K99*L99,4)</f>
        <v>7.2800000000000004E-2</v>
      </c>
      <c r="N99" s="485">
        <f>ROUND(+M99/$M$138*100,2)</f>
        <v>3.68</v>
      </c>
      <c r="O99" s="486"/>
      <c r="P99" s="48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503"/>
      <c r="C100" s="483"/>
      <c r="D100" s="483"/>
      <c r="E100" s="483"/>
      <c r="F100" s="41" t="s">
        <v>76</v>
      </c>
      <c r="G100" s="42">
        <f t="shared" ref="G100" si="97">IF(E99&lt;0.125,"NA",IF(0.125&lt;=E99,(0.2*E99)))</f>
        <v>4.7399999999999998E-2</v>
      </c>
      <c r="H100" s="43"/>
      <c r="I100" s="44"/>
      <c r="J100" s="45">
        <v>0.39600000000000002</v>
      </c>
      <c r="K100" s="483"/>
      <c r="L100" s="483"/>
      <c r="M100" s="483"/>
      <c r="N100" s="483"/>
      <c r="O100" s="483"/>
      <c r="P100" s="488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503"/>
      <c r="C101" s="483"/>
      <c r="D101" s="483"/>
      <c r="E101" s="483"/>
      <c r="F101" s="41" t="s">
        <v>77</v>
      </c>
      <c r="G101" s="42">
        <f t="shared" ref="G101" si="98">+E99*0.4</f>
        <v>9.4799999999999995E-2</v>
      </c>
      <c r="H101" s="43"/>
      <c r="I101" s="44"/>
      <c r="J101" s="45">
        <v>0.56200000000000006</v>
      </c>
      <c r="K101" s="483"/>
      <c r="L101" s="483"/>
      <c r="M101" s="483"/>
      <c r="N101" s="483"/>
      <c r="O101" s="483"/>
      <c r="P101" s="488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503"/>
      <c r="C102" s="483"/>
      <c r="D102" s="483"/>
      <c r="E102" s="483"/>
      <c r="F102" s="41" t="s">
        <v>78</v>
      </c>
      <c r="G102" s="42">
        <f t="shared" ref="G102" si="99">IF(E99&lt;0.125,"NA",IF(0.125&lt;=E99,(0.8*E99)))</f>
        <v>0.18959999999999999</v>
      </c>
      <c r="H102" s="43"/>
      <c r="I102" s="44"/>
      <c r="J102" s="45">
        <v>0.55800000000000005</v>
      </c>
      <c r="K102" s="483"/>
      <c r="L102" s="483"/>
      <c r="M102" s="483"/>
      <c r="N102" s="483"/>
      <c r="O102" s="483"/>
      <c r="P102" s="488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504"/>
      <c r="C103" s="484"/>
      <c r="D103" s="484"/>
      <c r="E103" s="484"/>
      <c r="F103" s="46" t="s">
        <v>79</v>
      </c>
      <c r="G103" s="47">
        <f t="shared" ref="G103" si="100">+E99</f>
        <v>0.23699999999999999</v>
      </c>
      <c r="H103" s="48"/>
      <c r="I103" s="49"/>
      <c r="J103" s="50">
        <v>0.53600000000000003</v>
      </c>
      <c r="K103" s="484"/>
      <c r="L103" s="484"/>
      <c r="M103" s="484"/>
      <c r="N103" s="484"/>
      <c r="O103" s="484"/>
      <c r="P103" s="489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502">
        <v>18</v>
      </c>
      <c r="C104" s="505">
        <f t="shared" si="88"/>
        <v>11.349999999999996</v>
      </c>
      <c r="D104" s="482">
        <v>0.105</v>
      </c>
      <c r="E104" s="482">
        <v>0.13</v>
      </c>
      <c r="F104" s="36" t="s">
        <v>75</v>
      </c>
      <c r="G104" s="37">
        <v>0</v>
      </c>
      <c r="H104" s="38"/>
      <c r="I104" s="39"/>
      <c r="J104" s="40">
        <v>0.35399999999999998</v>
      </c>
      <c r="K104" s="482">
        <f t="shared" ref="K104" si="101">+IF(E104&lt;=0.12,(J106),(IF(E104&lt;0.16,((J105+2*J106+J107)/4),IF(E104&gt;=0.16,((J104+3*J105+2*J106+3*J107+J108)/10)))))</f>
        <v>0.51</v>
      </c>
      <c r="L104" s="482">
        <f>ROUND(+(D99+D104)/2*(C104-C99),3)</f>
        <v>9.0999999999999998E-2</v>
      </c>
      <c r="M104" s="482">
        <f t="shared" ref="M104" si="102">ROUND(+K104*L104,4)</f>
        <v>4.6399999999999997E-2</v>
      </c>
      <c r="N104" s="485">
        <f>ROUND(+M104/$M$138*100,2)</f>
        <v>2.34</v>
      </c>
      <c r="O104" s="486"/>
      <c r="P104" s="48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503"/>
      <c r="C105" s="483"/>
      <c r="D105" s="483"/>
      <c r="E105" s="483"/>
      <c r="F105" s="41" t="s">
        <v>76</v>
      </c>
      <c r="G105" s="42">
        <f t="shared" ref="G105" si="103">IF(E104&lt;0.125,"NA",IF(0.125&lt;=E104,(0.2*E104)))</f>
        <v>2.6000000000000002E-2</v>
      </c>
      <c r="H105" s="43"/>
      <c r="I105" s="44"/>
      <c r="J105" s="45">
        <v>0.45100000000000001</v>
      </c>
      <c r="K105" s="483"/>
      <c r="L105" s="483"/>
      <c r="M105" s="483"/>
      <c r="N105" s="483"/>
      <c r="O105" s="483"/>
      <c r="P105" s="488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503"/>
      <c r="C106" s="483"/>
      <c r="D106" s="483"/>
      <c r="E106" s="483"/>
      <c r="F106" s="41" t="s">
        <v>77</v>
      </c>
      <c r="G106" s="42">
        <f t="shared" ref="G106" si="104">+E104*0.4</f>
        <v>5.2000000000000005E-2</v>
      </c>
      <c r="H106" s="43"/>
      <c r="I106" s="44"/>
      <c r="J106" s="45">
        <v>0.51900000000000002</v>
      </c>
      <c r="K106" s="483"/>
      <c r="L106" s="483"/>
      <c r="M106" s="483"/>
      <c r="N106" s="483"/>
      <c r="O106" s="483"/>
      <c r="P106" s="488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503"/>
      <c r="C107" s="483"/>
      <c r="D107" s="483"/>
      <c r="E107" s="483"/>
      <c r="F107" s="41" t="s">
        <v>78</v>
      </c>
      <c r="G107" s="42">
        <f t="shared" ref="G107" si="105">IF(E104&lt;0.125,"NA",IF(0.125&lt;=E104,(0.8*E104)))</f>
        <v>0.10400000000000001</v>
      </c>
      <c r="H107" s="43"/>
      <c r="I107" s="44"/>
      <c r="J107" s="45">
        <v>0.55100000000000005</v>
      </c>
      <c r="K107" s="483"/>
      <c r="L107" s="483"/>
      <c r="M107" s="483"/>
      <c r="N107" s="483"/>
      <c r="O107" s="483"/>
      <c r="P107" s="488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504"/>
      <c r="C108" s="484"/>
      <c r="D108" s="484"/>
      <c r="E108" s="484"/>
      <c r="F108" s="46" t="s">
        <v>79</v>
      </c>
      <c r="G108" s="47">
        <f t="shared" ref="G108" si="106">+E104</f>
        <v>0.13</v>
      </c>
      <c r="H108" s="48"/>
      <c r="I108" s="49"/>
      <c r="J108" s="50">
        <v>0.496</v>
      </c>
      <c r="K108" s="484"/>
      <c r="L108" s="484"/>
      <c r="M108" s="484"/>
      <c r="N108" s="484"/>
      <c r="O108" s="484"/>
      <c r="P108" s="489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502">
        <v>19</v>
      </c>
      <c r="C109" s="505">
        <f t="shared" si="88"/>
        <v>11.949999999999996</v>
      </c>
      <c r="D109" s="482">
        <v>2.8000000000000001E-2</v>
      </c>
      <c r="E109" s="482">
        <v>5.5E-2</v>
      </c>
      <c r="F109" s="36" t="s">
        <v>75</v>
      </c>
      <c r="G109" s="37">
        <v>0</v>
      </c>
      <c r="H109" s="38"/>
      <c r="I109" s="39"/>
      <c r="J109" s="40">
        <v>0.26300000000000001</v>
      </c>
      <c r="K109" s="482">
        <f t="shared" ref="K109" si="107">+IF(E109&lt;=0.12,(J111),(IF(E109&lt;0.16,((J110+2*J111+J112)/4),IF(E109&gt;=0.16,((J109+3*J110+2*J111+3*J112+J113)/10)))))</f>
        <v>0.30499999999999999</v>
      </c>
      <c r="L109" s="482">
        <f>ROUND(+(D104+D109)/2*(C109-C104),3)</f>
        <v>0.04</v>
      </c>
      <c r="M109" s="482">
        <f t="shared" ref="M109" si="108">ROUND(+K109*L109,4)</f>
        <v>1.2200000000000001E-2</v>
      </c>
      <c r="N109" s="485">
        <f>ROUND(+M109/$M$138*100,2)</f>
        <v>0.62</v>
      </c>
      <c r="O109" s="486"/>
      <c r="P109" s="48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503"/>
      <c r="C110" s="483"/>
      <c r="D110" s="483"/>
      <c r="E110" s="483"/>
      <c r="F110" s="41" t="s">
        <v>76</v>
      </c>
      <c r="G110" s="42" t="str">
        <f t="shared" ref="G110" si="109">IF(E109&lt;0.125,"NA",IF(0.125&lt;=E109,(0.2*E109)))</f>
        <v>NA</v>
      </c>
      <c r="H110" s="43"/>
      <c r="I110" s="44"/>
      <c r="J110" s="45"/>
      <c r="K110" s="483"/>
      <c r="L110" s="483"/>
      <c r="M110" s="483"/>
      <c r="N110" s="483"/>
      <c r="O110" s="483"/>
      <c r="P110" s="488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503"/>
      <c r="C111" s="483"/>
      <c r="D111" s="483"/>
      <c r="E111" s="483"/>
      <c r="F111" s="41" t="s">
        <v>77</v>
      </c>
      <c r="G111" s="42">
        <f t="shared" ref="G111" si="110">+E109*0.4</f>
        <v>2.2000000000000002E-2</v>
      </c>
      <c r="H111" s="43"/>
      <c r="I111" s="44"/>
      <c r="J111" s="45">
        <v>0.30499999999999999</v>
      </c>
      <c r="K111" s="483"/>
      <c r="L111" s="483"/>
      <c r="M111" s="483"/>
      <c r="N111" s="483"/>
      <c r="O111" s="483"/>
      <c r="P111" s="488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503"/>
      <c r="C112" s="483"/>
      <c r="D112" s="483"/>
      <c r="E112" s="483"/>
      <c r="F112" s="41" t="s">
        <v>78</v>
      </c>
      <c r="G112" s="42" t="str">
        <f t="shared" ref="G112" si="111">IF(E109&lt;0.125,"NA",IF(0.125&lt;=E109,(0.8*E109)))</f>
        <v>NA</v>
      </c>
      <c r="H112" s="43"/>
      <c r="I112" s="44"/>
      <c r="J112" s="45"/>
      <c r="K112" s="483"/>
      <c r="L112" s="483"/>
      <c r="M112" s="483"/>
      <c r="N112" s="483"/>
      <c r="O112" s="483"/>
      <c r="P112" s="488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504"/>
      <c r="C113" s="484"/>
      <c r="D113" s="484"/>
      <c r="E113" s="484"/>
      <c r="F113" s="46" t="s">
        <v>79</v>
      </c>
      <c r="G113" s="47">
        <f t="shared" ref="G113" si="112">+E109</f>
        <v>5.5E-2</v>
      </c>
      <c r="H113" s="48"/>
      <c r="I113" s="49"/>
      <c r="J113" s="50">
        <v>0.33400000000000002</v>
      </c>
      <c r="K113" s="484"/>
      <c r="L113" s="484"/>
      <c r="M113" s="484"/>
      <c r="N113" s="484"/>
      <c r="O113" s="484"/>
      <c r="P113" s="489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5" customFormat="1" ht="13.5" customHeight="1" x14ac:dyDescent="0.25">
      <c r="A114" s="27"/>
      <c r="B114" s="502">
        <v>20</v>
      </c>
      <c r="C114" s="505">
        <f>+C109+0.45</f>
        <v>12.399999999999995</v>
      </c>
      <c r="D114" s="482">
        <v>0</v>
      </c>
      <c r="E114" s="482">
        <v>0.04</v>
      </c>
      <c r="F114" s="36" t="s">
        <v>75</v>
      </c>
      <c r="G114" s="37">
        <v>0</v>
      </c>
      <c r="H114" s="38"/>
      <c r="I114" s="39"/>
      <c r="J114" s="40"/>
      <c r="K114" s="482">
        <f t="shared" ref="K114" si="113">+IF(E114&lt;=0.12,(J116),(IF(E114&lt;0.16,((J115+2*J116+J117)/4),IF(E114&gt;=0.16,((J114+3*J115+2*J116+3*J117+J118)/10)))))</f>
        <v>8.6999999999999994E-2</v>
      </c>
      <c r="L114" s="482">
        <f>ROUND(+(D109+D114)/2*(C114-C109),3)</f>
        <v>6.0000000000000001E-3</v>
      </c>
      <c r="M114" s="482">
        <f t="shared" ref="M114" si="114">ROUND(+K114*L114,4)</f>
        <v>5.0000000000000001E-4</v>
      </c>
      <c r="N114" s="485">
        <f t="shared" ref="N114" si="115">ROUND(+M114/$M$138*100,2)</f>
        <v>0.03</v>
      </c>
      <c r="O114" s="486"/>
      <c r="P114" s="48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s="35" customFormat="1" ht="13.5" customHeight="1" x14ac:dyDescent="0.25">
      <c r="A115" s="27"/>
      <c r="B115" s="503"/>
      <c r="C115" s="483"/>
      <c r="D115" s="483"/>
      <c r="E115" s="483"/>
      <c r="F115" s="41" t="s">
        <v>76</v>
      </c>
      <c r="G115" s="42" t="str">
        <f t="shared" ref="G115" si="116">IF(E114&lt;0.125,"NA",IF(0.125&lt;=E114,(0.2*E114)))</f>
        <v>NA</v>
      </c>
      <c r="H115" s="43"/>
      <c r="I115" s="44"/>
      <c r="J115" s="45"/>
      <c r="K115" s="483"/>
      <c r="L115" s="483"/>
      <c r="M115" s="483"/>
      <c r="N115" s="483"/>
      <c r="O115" s="483"/>
      <c r="P115" s="488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s="35" customFormat="1" ht="13.5" customHeight="1" x14ac:dyDescent="0.25">
      <c r="A116" s="27"/>
      <c r="B116" s="503"/>
      <c r="C116" s="483"/>
      <c r="D116" s="483"/>
      <c r="E116" s="483"/>
      <c r="F116" s="41" t="s">
        <v>77</v>
      </c>
      <c r="G116" s="42">
        <f t="shared" ref="G116" si="117">+E114*0.4</f>
        <v>1.6E-2</v>
      </c>
      <c r="H116" s="43"/>
      <c r="I116" s="44"/>
      <c r="J116" s="45">
        <v>8.6999999999999994E-2</v>
      </c>
      <c r="K116" s="483"/>
      <c r="L116" s="483"/>
      <c r="M116" s="483"/>
      <c r="N116" s="483"/>
      <c r="O116" s="483"/>
      <c r="P116" s="488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s="35" customFormat="1" ht="13.5" customHeight="1" x14ac:dyDescent="0.25">
      <c r="A117" s="27"/>
      <c r="B117" s="503"/>
      <c r="C117" s="483"/>
      <c r="D117" s="483"/>
      <c r="E117" s="483"/>
      <c r="F117" s="41" t="s">
        <v>78</v>
      </c>
      <c r="G117" s="42" t="str">
        <f t="shared" ref="G117" si="118">IF(E114&lt;0.125,"NA",IF(0.125&lt;=E114,(0.8*E114)))</f>
        <v>NA</v>
      </c>
      <c r="H117" s="43"/>
      <c r="I117" s="44"/>
      <c r="J117" s="45"/>
      <c r="K117" s="483"/>
      <c r="L117" s="483"/>
      <c r="M117" s="483"/>
      <c r="N117" s="483"/>
      <c r="O117" s="483"/>
      <c r="P117" s="488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s="35" customFormat="1" ht="13.5" customHeight="1" thickBot="1" x14ac:dyDescent="0.3">
      <c r="A118" s="27"/>
      <c r="B118" s="504"/>
      <c r="C118" s="484"/>
      <c r="D118" s="484"/>
      <c r="E118" s="484"/>
      <c r="F118" s="46" t="s">
        <v>79</v>
      </c>
      <c r="G118" s="47">
        <f t="shared" ref="G118" si="119">+E114</f>
        <v>0.04</v>
      </c>
      <c r="H118" s="48"/>
      <c r="I118" s="49"/>
      <c r="J118" s="50"/>
      <c r="K118" s="484"/>
      <c r="L118" s="484"/>
      <c r="M118" s="484"/>
      <c r="N118" s="484"/>
      <c r="O118" s="484"/>
      <c r="P118" s="489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s="3" customFormat="1" ht="13.5" customHeight="1" x14ac:dyDescent="0.2">
      <c r="B119" s="490" t="s">
        <v>28</v>
      </c>
      <c r="C119" s="493"/>
      <c r="D119" s="494"/>
      <c r="E119" s="494"/>
      <c r="F119" s="494"/>
      <c r="G119" s="494"/>
      <c r="H119" s="494"/>
      <c r="I119" s="494"/>
      <c r="J119" s="494"/>
      <c r="K119" s="494"/>
      <c r="L119" s="494"/>
      <c r="M119" s="494"/>
      <c r="N119" s="494"/>
      <c r="O119" s="494"/>
      <c r="P119" s="495"/>
    </row>
    <row r="120" spans="1:26" s="3" customFormat="1" ht="14.1" customHeight="1" x14ac:dyDescent="0.2">
      <c r="B120" s="491"/>
      <c r="C120" s="496"/>
      <c r="D120" s="497"/>
      <c r="E120" s="497"/>
      <c r="F120" s="497"/>
      <c r="G120" s="497"/>
      <c r="H120" s="497"/>
      <c r="I120" s="497"/>
      <c r="J120" s="497"/>
      <c r="K120" s="497"/>
      <c r="L120" s="497"/>
      <c r="M120" s="497"/>
      <c r="N120" s="497"/>
      <c r="O120" s="497"/>
      <c r="P120" s="498"/>
    </row>
    <row r="121" spans="1:26" s="3" customFormat="1" ht="14.1" customHeight="1" x14ac:dyDescent="0.2">
      <c r="B121" s="491"/>
      <c r="C121" s="496"/>
      <c r="D121" s="497"/>
      <c r="E121" s="497"/>
      <c r="F121" s="497"/>
      <c r="G121" s="497"/>
      <c r="H121" s="497"/>
      <c r="I121" s="497"/>
      <c r="J121" s="497"/>
      <c r="K121" s="497"/>
      <c r="L121" s="497"/>
      <c r="M121" s="497"/>
      <c r="N121" s="497"/>
      <c r="O121" s="497"/>
      <c r="P121" s="498"/>
    </row>
    <row r="122" spans="1:26" s="3" customFormat="1" ht="14.1" customHeight="1" x14ac:dyDescent="0.2">
      <c r="B122" s="491"/>
      <c r="C122" s="496"/>
      <c r="D122" s="497"/>
      <c r="E122" s="497"/>
      <c r="F122" s="497"/>
      <c r="G122" s="497"/>
      <c r="H122" s="497"/>
      <c r="I122" s="497"/>
      <c r="J122" s="497"/>
      <c r="K122" s="497"/>
      <c r="L122" s="497"/>
      <c r="M122" s="497"/>
      <c r="N122" s="497"/>
      <c r="O122" s="497"/>
      <c r="P122" s="498"/>
    </row>
    <row r="123" spans="1:26" s="3" customFormat="1" ht="14.1" customHeight="1" x14ac:dyDescent="0.2">
      <c r="B123" s="491"/>
      <c r="C123" s="496"/>
      <c r="D123" s="497"/>
      <c r="E123" s="497"/>
      <c r="F123" s="497"/>
      <c r="G123" s="497"/>
      <c r="H123" s="497"/>
      <c r="I123" s="497"/>
      <c r="J123" s="497"/>
      <c r="K123" s="497"/>
      <c r="L123" s="497"/>
      <c r="M123" s="497"/>
      <c r="N123" s="497"/>
      <c r="O123" s="497"/>
      <c r="P123" s="498"/>
    </row>
    <row r="124" spans="1:26" s="3" customFormat="1" ht="14.1" customHeight="1" thickBot="1" x14ac:dyDescent="0.25">
      <c r="B124" s="492"/>
      <c r="C124" s="499"/>
      <c r="D124" s="500"/>
      <c r="E124" s="500"/>
      <c r="F124" s="500"/>
      <c r="G124" s="500"/>
      <c r="H124" s="500"/>
      <c r="I124" s="500"/>
      <c r="J124" s="500"/>
      <c r="K124" s="500"/>
      <c r="L124" s="500"/>
      <c r="M124" s="500"/>
      <c r="N124" s="500"/>
      <c r="O124" s="500"/>
      <c r="P124" s="501"/>
    </row>
    <row r="125" spans="1:26" s="3" customFormat="1" ht="28.5" customHeight="1" thickBot="1" x14ac:dyDescent="0.25">
      <c r="A125" s="51"/>
      <c r="B125" s="52" t="s">
        <v>80</v>
      </c>
      <c r="C125" s="469" t="s">
        <v>81</v>
      </c>
      <c r="D125" s="469"/>
      <c r="E125" s="469"/>
      <c r="F125" s="469"/>
      <c r="G125" s="469"/>
      <c r="H125" s="470"/>
      <c r="I125" s="471"/>
      <c r="J125" s="52" t="s">
        <v>82</v>
      </c>
      <c r="K125" s="469" t="s">
        <v>83</v>
      </c>
      <c r="L125" s="469"/>
      <c r="M125" s="469"/>
      <c r="N125" s="469"/>
      <c r="O125" s="469"/>
      <c r="P125" s="470"/>
    </row>
    <row r="126" spans="1:26" s="3" customFormat="1" ht="28.5" customHeight="1" thickBot="1" x14ac:dyDescent="0.25">
      <c r="B126" s="53" t="s">
        <v>84</v>
      </c>
      <c r="C126" s="473" t="s">
        <v>85</v>
      </c>
      <c r="D126" s="473"/>
      <c r="E126" s="473"/>
      <c r="F126" s="473"/>
      <c r="G126" s="473"/>
      <c r="H126" s="474"/>
      <c r="I126" s="472"/>
      <c r="J126" s="53" t="s">
        <v>86</v>
      </c>
      <c r="K126" s="473" t="s">
        <v>87</v>
      </c>
      <c r="L126" s="473"/>
      <c r="M126" s="473"/>
      <c r="N126" s="473"/>
      <c r="O126" s="473"/>
      <c r="P126" s="474"/>
    </row>
    <row r="127" spans="1:26" s="91" customFormat="1" ht="13.5" customHeight="1" x14ac:dyDescent="0.25">
      <c r="A127" s="54"/>
      <c r="B127" s="475">
        <v>8</v>
      </c>
      <c r="C127" s="478">
        <f>C49</f>
        <v>4.75</v>
      </c>
      <c r="D127" s="480">
        <f>D49</f>
        <v>0.75</v>
      </c>
      <c r="E127" s="480">
        <f>E54</f>
        <v>0.81499999999999995</v>
      </c>
      <c r="F127" s="55" t="s">
        <v>75</v>
      </c>
      <c r="G127" s="55">
        <v>0.01</v>
      </c>
      <c r="H127" s="56"/>
      <c r="I127" s="57"/>
      <c r="J127" s="58">
        <v>9.6000000000000002E-2</v>
      </c>
      <c r="K127" s="481">
        <f>+AVERAGE(J127:J137)</f>
        <v>0.31145454545454548</v>
      </c>
      <c r="L127" s="460">
        <f>ROUND(+(D127+D132)/2*(C132-C127),3)</f>
        <v>0.45200000000000001</v>
      </c>
      <c r="M127" s="463">
        <f>ROUND(+K127*L127,4)</f>
        <v>0.14080000000000001</v>
      </c>
      <c r="N127" s="460">
        <f>ROUND(+M127/$M$138*100,2)</f>
        <v>7.12</v>
      </c>
      <c r="O127" s="460"/>
      <c r="P127" s="464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476"/>
      <c r="C128" s="461"/>
      <c r="D128" s="461"/>
      <c r="E128" s="461"/>
      <c r="F128" s="60" t="s">
        <v>88</v>
      </c>
      <c r="G128" s="61">
        <f>+E127*0.1</f>
        <v>8.1500000000000003E-2</v>
      </c>
      <c r="H128" s="62"/>
      <c r="I128" s="63"/>
      <c r="J128" s="64">
        <v>0.23499999999999999</v>
      </c>
      <c r="K128" s="461"/>
      <c r="L128" s="461"/>
      <c r="M128" s="461"/>
      <c r="N128" s="461"/>
      <c r="O128" s="461"/>
      <c r="P128" s="465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476"/>
      <c r="C129" s="461"/>
      <c r="D129" s="461"/>
      <c r="E129" s="461"/>
      <c r="F129" s="60" t="s">
        <v>89</v>
      </c>
      <c r="G129" s="61">
        <f>+E127*0.2</f>
        <v>0.16300000000000001</v>
      </c>
      <c r="H129" s="62"/>
      <c r="I129" s="63"/>
      <c r="J129" s="64">
        <v>0.27100000000000002</v>
      </c>
      <c r="K129" s="461"/>
      <c r="L129" s="461"/>
      <c r="M129" s="461"/>
      <c r="N129" s="461"/>
      <c r="O129" s="461"/>
      <c r="P129" s="465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476"/>
      <c r="C130" s="461"/>
      <c r="D130" s="461"/>
      <c r="E130" s="461"/>
      <c r="F130" s="60" t="s">
        <v>90</v>
      </c>
      <c r="G130" s="61">
        <f>+E127*0.3</f>
        <v>0.24449999999999997</v>
      </c>
      <c r="H130" s="62"/>
      <c r="I130" s="63"/>
      <c r="J130" s="64">
        <v>0.29899999999999999</v>
      </c>
      <c r="K130" s="461"/>
      <c r="L130" s="461"/>
      <c r="M130" s="461"/>
      <c r="N130" s="461"/>
      <c r="O130" s="461"/>
      <c r="P130" s="465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476"/>
      <c r="C131" s="479"/>
      <c r="D131" s="479"/>
      <c r="E131" s="461"/>
      <c r="F131" s="60" t="s">
        <v>91</v>
      </c>
      <c r="G131" s="61">
        <f>+E127*0.4</f>
        <v>0.32600000000000001</v>
      </c>
      <c r="H131" s="62"/>
      <c r="I131" s="63"/>
      <c r="J131" s="64">
        <v>0.308</v>
      </c>
      <c r="K131" s="461"/>
      <c r="L131" s="461"/>
      <c r="M131" s="461"/>
      <c r="N131" s="461"/>
      <c r="O131" s="461"/>
      <c r="P131" s="465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3.5" customHeight="1" x14ac:dyDescent="0.25">
      <c r="A132" s="54"/>
      <c r="B132" s="476"/>
      <c r="C132" s="467">
        <f>C54</f>
        <v>5.35</v>
      </c>
      <c r="D132" s="468">
        <f>D54</f>
        <v>0.755</v>
      </c>
      <c r="E132" s="461"/>
      <c r="F132" s="60" t="s">
        <v>29</v>
      </c>
      <c r="G132" s="61">
        <f>+E127*0.5</f>
        <v>0.40749999999999997</v>
      </c>
      <c r="H132" s="62"/>
      <c r="I132" s="63"/>
      <c r="J132" s="64">
        <v>0.33100000000000002</v>
      </c>
      <c r="K132" s="461"/>
      <c r="L132" s="461"/>
      <c r="M132" s="461"/>
      <c r="N132" s="461"/>
      <c r="O132" s="461"/>
      <c r="P132" s="465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91" customFormat="1" ht="13.5" customHeight="1" x14ac:dyDescent="0.25">
      <c r="A133" s="54"/>
      <c r="B133" s="476"/>
      <c r="C133" s="461"/>
      <c r="D133" s="461"/>
      <c r="E133" s="461"/>
      <c r="F133" s="60" t="s">
        <v>92</v>
      </c>
      <c r="G133" s="61">
        <f>+E127*0.6</f>
        <v>0.48899999999999993</v>
      </c>
      <c r="H133" s="62"/>
      <c r="I133" s="63"/>
      <c r="J133" s="64">
        <v>0.372</v>
      </c>
      <c r="K133" s="461"/>
      <c r="L133" s="461"/>
      <c r="M133" s="461"/>
      <c r="N133" s="461"/>
      <c r="O133" s="461"/>
      <c r="P133" s="465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s="91" customFormat="1" ht="13.5" customHeight="1" x14ac:dyDescent="0.25">
      <c r="A134" s="54"/>
      <c r="B134" s="476"/>
      <c r="C134" s="461"/>
      <c r="D134" s="461"/>
      <c r="E134" s="461"/>
      <c r="F134" s="60" t="s">
        <v>93</v>
      </c>
      <c r="G134" s="61">
        <f>+E127*0.7</f>
        <v>0.5704999999999999</v>
      </c>
      <c r="H134" s="62"/>
      <c r="I134" s="63"/>
      <c r="J134" s="64">
        <v>0.32200000000000001</v>
      </c>
      <c r="K134" s="461"/>
      <c r="L134" s="461"/>
      <c r="M134" s="461"/>
      <c r="N134" s="461"/>
      <c r="O134" s="461"/>
      <c r="P134" s="465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s="91" customFormat="1" ht="13.5" customHeight="1" x14ac:dyDescent="0.25">
      <c r="A135" s="54"/>
      <c r="B135" s="476"/>
      <c r="C135" s="461"/>
      <c r="D135" s="461"/>
      <c r="E135" s="461"/>
      <c r="F135" s="60" t="s">
        <v>94</v>
      </c>
      <c r="G135" s="61">
        <f>+E127*0.8</f>
        <v>0.65200000000000002</v>
      </c>
      <c r="H135" s="62"/>
      <c r="I135" s="63"/>
      <c r="J135" s="64">
        <v>0.39600000000000002</v>
      </c>
      <c r="K135" s="461"/>
      <c r="L135" s="461"/>
      <c r="M135" s="461"/>
      <c r="N135" s="461"/>
      <c r="O135" s="461"/>
      <c r="P135" s="465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s="91" customFormat="1" ht="13.5" customHeight="1" x14ac:dyDescent="0.25">
      <c r="A136" s="54"/>
      <c r="B136" s="476"/>
      <c r="C136" s="461"/>
      <c r="D136" s="461"/>
      <c r="E136" s="461"/>
      <c r="F136" s="60" t="s">
        <v>95</v>
      </c>
      <c r="G136" s="61">
        <f>+E127*0.9</f>
        <v>0.73349999999999993</v>
      </c>
      <c r="H136" s="62"/>
      <c r="I136" s="63"/>
      <c r="J136" s="64">
        <v>0.40500000000000003</v>
      </c>
      <c r="K136" s="461"/>
      <c r="L136" s="461"/>
      <c r="M136" s="461"/>
      <c r="N136" s="461"/>
      <c r="O136" s="461"/>
      <c r="P136" s="465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s="91" customFormat="1" ht="15.75" thickBot="1" x14ac:dyDescent="0.3">
      <c r="A137" s="54"/>
      <c r="B137" s="477"/>
      <c r="C137" s="462"/>
      <c r="D137" s="462"/>
      <c r="E137" s="462"/>
      <c r="F137" s="65" t="s">
        <v>30</v>
      </c>
      <c r="G137" s="65">
        <f>+E127</f>
        <v>0.81499999999999995</v>
      </c>
      <c r="H137" s="66"/>
      <c r="I137" s="67"/>
      <c r="J137" s="68">
        <v>0.39100000000000001</v>
      </c>
      <c r="K137" s="462"/>
      <c r="L137" s="462"/>
      <c r="M137" s="462"/>
      <c r="N137" s="462"/>
      <c r="O137" s="462"/>
      <c r="P137" s="466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s="3" customFormat="1" ht="12.75" x14ac:dyDescent="0.2">
      <c r="A138" s="8"/>
      <c r="B138" s="448" t="s">
        <v>104</v>
      </c>
      <c r="C138" s="448"/>
      <c r="D138" s="448"/>
      <c r="E138" s="448"/>
      <c r="F138" s="448"/>
      <c r="G138" s="448"/>
      <c r="H138" s="448"/>
      <c r="I138" s="448"/>
      <c r="J138" s="448"/>
      <c r="K138" s="13">
        <f>ROUND(+M138/L138,3)</f>
        <v>0.35099999999999998</v>
      </c>
      <c r="L138" s="12">
        <f>SUM(L19:L137)</f>
        <v>5.6410000000000009</v>
      </c>
      <c r="M138" s="11">
        <f>SUM(M19:M137)</f>
        <v>1.9787999999999999</v>
      </c>
      <c r="N138" s="9">
        <f>ROUND(SUM(N19:N137),0)</f>
        <v>100</v>
      </c>
      <c r="O138" s="450" t="s">
        <v>31</v>
      </c>
      <c r="P138" s="452"/>
    </row>
    <row r="139" spans="1:26" s="3" customFormat="1" ht="15" customHeight="1" thickBot="1" x14ac:dyDescent="0.25">
      <c r="A139" s="8"/>
      <c r="B139" s="449"/>
      <c r="C139" s="449"/>
      <c r="D139" s="449"/>
      <c r="E139" s="449"/>
      <c r="F139" s="449"/>
      <c r="G139" s="449"/>
      <c r="H139" s="449"/>
      <c r="I139" s="449"/>
      <c r="J139" s="449"/>
      <c r="K139" s="10" t="s">
        <v>32</v>
      </c>
      <c r="L139" s="10" t="s">
        <v>48</v>
      </c>
      <c r="M139" s="10" t="s">
        <v>100</v>
      </c>
      <c r="N139" s="10" t="s">
        <v>33</v>
      </c>
      <c r="O139" s="451"/>
      <c r="P139" s="453"/>
    </row>
    <row r="140" spans="1:26" ht="15" customHeight="1" thickBot="1" x14ac:dyDescent="0.3">
      <c r="A140" s="93"/>
      <c r="B140" s="454" t="s">
        <v>96</v>
      </c>
      <c r="C140" s="455"/>
      <c r="D140" s="455"/>
      <c r="E140" s="455"/>
      <c r="F140" s="456"/>
      <c r="G140" s="454" t="s">
        <v>97</v>
      </c>
      <c r="H140" s="455"/>
      <c r="I140" s="455"/>
      <c r="J140" s="455"/>
      <c r="K140" s="456"/>
      <c r="L140" s="457" t="s">
        <v>49</v>
      </c>
      <c r="M140" s="458"/>
      <c r="N140" s="458"/>
      <c r="O140" s="458"/>
      <c r="P140" s="459"/>
    </row>
    <row r="141" spans="1:26" ht="15" customHeight="1" x14ac:dyDescent="0.25">
      <c r="A141" s="93"/>
      <c r="B141" s="418"/>
      <c r="C141" s="419"/>
      <c r="D141" s="419"/>
      <c r="E141" s="419"/>
      <c r="F141" s="420"/>
      <c r="G141" s="418"/>
      <c r="H141" s="419"/>
      <c r="I141" s="419"/>
      <c r="J141" s="419"/>
      <c r="K141" s="420"/>
      <c r="L141" s="427" t="s">
        <v>98</v>
      </c>
      <c r="M141" s="428"/>
      <c r="N141" s="428"/>
      <c r="O141" s="429">
        <f>+AVERAGE(E18:E118)</f>
        <v>0.47075000000000006</v>
      </c>
      <c r="P141" s="430"/>
    </row>
    <row r="142" spans="1:26" ht="15" customHeight="1" thickBot="1" x14ac:dyDescent="0.3">
      <c r="A142" s="93"/>
      <c r="B142" s="421"/>
      <c r="C142" s="422"/>
      <c r="D142" s="422"/>
      <c r="E142" s="422"/>
      <c r="F142" s="423"/>
      <c r="G142" s="421"/>
      <c r="H142" s="422"/>
      <c r="I142" s="422"/>
      <c r="J142" s="422"/>
      <c r="K142" s="423"/>
      <c r="L142" s="431" t="s">
        <v>99</v>
      </c>
      <c r="M142" s="432"/>
      <c r="N142" s="432"/>
      <c r="O142" s="433">
        <f>MAX(E18:E118)</f>
        <v>0.81499999999999995</v>
      </c>
      <c r="P142" s="434"/>
    </row>
    <row r="143" spans="1:26" ht="18.600000000000001" customHeight="1" x14ac:dyDescent="0.25">
      <c r="A143" s="94"/>
      <c r="B143" s="421"/>
      <c r="C143" s="422"/>
      <c r="D143" s="422"/>
      <c r="E143" s="422"/>
      <c r="F143" s="423"/>
      <c r="G143" s="421"/>
      <c r="H143" s="422"/>
      <c r="I143" s="422"/>
      <c r="J143" s="422"/>
      <c r="K143" s="423"/>
      <c r="L143" s="435"/>
      <c r="M143" s="436"/>
      <c r="N143" s="436"/>
      <c r="O143" s="436"/>
      <c r="P143" s="437"/>
    </row>
    <row r="144" spans="1:26" ht="42" customHeight="1" x14ac:dyDescent="0.25">
      <c r="A144" s="95"/>
      <c r="B144" s="421"/>
      <c r="C144" s="422"/>
      <c r="D144" s="422"/>
      <c r="E144" s="422"/>
      <c r="F144" s="423"/>
      <c r="G144" s="421"/>
      <c r="H144" s="422"/>
      <c r="I144" s="422"/>
      <c r="J144" s="422"/>
      <c r="K144" s="423"/>
      <c r="L144" s="438"/>
      <c r="M144" s="439"/>
      <c r="N144" s="439"/>
      <c r="O144" s="439"/>
      <c r="P144" s="440"/>
    </row>
    <row r="145" spans="1:16" ht="15" customHeight="1" thickBot="1" x14ac:dyDescent="0.3">
      <c r="A145" s="93"/>
      <c r="B145" s="421"/>
      <c r="C145" s="422"/>
      <c r="D145" s="422"/>
      <c r="E145" s="422"/>
      <c r="F145" s="423"/>
      <c r="G145" s="421"/>
      <c r="H145" s="422"/>
      <c r="I145" s="422"/>
      <c r="J145" s="422"/>
      <c r="K145" s="423"/>
      <c r="L145" s="441"/>
      <c r="M145" s="442"/>
      <c r="N145" s="442"/>
      <c r="O145" s="442"/>
      <c r="P145" s="443"/>
    </row>
    <row r="146" spans="1:16" ht="22.5" customHeight="1" thickBot="1" x14ac:dyDescent="0.3">
      <c r="A146" s="93"/>
      <c r="B146" s="421"/>
      <c r="C146" s="422"/>
      <c r="D146" s="422"/>
      <c r="E146" s="422"/>
      <c r="F146" s="423"/>
      <c r="G146" s="421"/>
      <c r="H146" s="422"/>
      <c r="I146" s="422"/>
      <c r="J146" s="422"/>
      <c r="K146" s="423"/>
      <c r="L146" s="444" t="s">
        <v>34</v>
      </c>
      <c r="M146" s="445"/>
      <c r="N146" s="445"/>
      <c r="O146" s="445"/>
      <c r="P146" s="90">
        <v>5.12</v>
      </c>
    </row>
    <row r="147" spans="1:16" ht="32.25" customHeight="1" thickBot="1" x14ac:dyDescent="0.3">
      <c r="A147" s="93"/>
      <c r="B147" s="424"/>
      <c r="C147" s="425"/>
      <c r="D147" s="425"/>
      <c r="E147" s="425"/>
      <c r="F147" s="426"/>
      <c r="G147" s="424"/>
      <c r="H147" s="425"/>
      <c r="I147" s="425"/>
      <c r="J147" s="425"/>
      <c r="K147" s="426"/>
      <c r="L147" s="446" t="s">
        <v>103</v>
      </c>
      <c r="M147" s="447"/>
      <c r="N147" s="447"/>
      <c r="O147" s="447"/>
      <c r="P147" s="90">
        <v>1.2508999999999999</v>
      </c>
    </row>
    <row r="148" spans="1:16" ht="23.45" customHeight="1" thickBot="1" x14ac:dyDescent="0.3">
      <c r="A148" s="5"/>
      <c r="B148" s="406"/>
      <c r="C148" s="406"/>
      <c r="D148" s="406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</row>
    <row r="149" spans="1:16" ht="15.75" thickBot="1" x14ac:dyDescent="0.3">
      <c r="A149" s="407" t="s">
        <v>35</v>
      </c>
      <c r="B149" s="408"/>
      <c r="C149" s="408"/>
      <c r="D149" s="408"/>
      <c r="E149" s="408"/>
      <c r="F149" s="408"/>
      <c r="G149" s="408"/>
      <c r="H149" s="408"/>
      <c r="I149" s="408"/>
      <c r="J149" s="408"/>
      <c r="K149" s="408"/>
      <c r="L149" s="408"/>
      <c r="M149" s="408"/>
      <c r="N149" s="408"/>
      <c r="O149" s="408"/>
      <c r="P149" s="409"/>
    </row>
    <row r="150" spans="1:16" ht="159" customHeight="1" thickBot="1" x14ac:dyDescent="0.3">
      <c r="A150" s="4"/>
      <c r="B150" s="410"/>
      <c r="C150" s="411"/>
      <c r="D150" s="411"/>
      <c r="E150" s="411"/>
      <c r="F150" s="412"/>
      <c r="G150" s="410"/>
      <c r="H150" s="411"/>
      <c r="I150" s="411"/>
      <c r="J150" s="411"/>
      <c r="K150" s="412"/>
      <c r="L150" s="410"/>
      <c r="M150" s="411"/>
      <c r="N150" s="411"/>
      <c r="O150" s="411"/>
      <c r="P150" s="413"/>
    </row>
    <row r="151" spans="1:16" ht="21.75" customHeight="1" thickBot="1" x14ac:dyDescent="0.3">
      <c r="A151" s="4"/>
      <c r="B151" s="414" t="s">
        <v>142</v>
      </c>
      <c r="C151" s="415"/>
      <c r="D151" s="415"/>
      <c r="E151" s="415"/>
      <c r="F151" s="416"/>
      <c r="G151" s="414" t="s">
        <v>143</v>
      </c>
      <c r="H151" s="415"/>
      <c r="I151" s="415"/>
      <c r="J151" s="415"/>
      <c r="K151" s="416"/>
      <c r="L151" s="414" t="s">
        <v>142</v>
      </c>
      <c r="M151" s="415"/>
      <c r="N151" s="415"/>
      <c r="O151" s="415"/>
      <c r="P151" s="417"/>
    </row>
    <row r="152" spans="1:16" s="7" customFormat="1" ht="16.899999999999999" customHeight="1" thickBot="1" x14ac:dyDescent="0.3">
      <c r="A152" s="6"/>
      <c r="B152" s="401"/>
      <c r="C152" s="401"/>
      <c r="D152" s="401"/>
      <c r="E152" s="401"/>
      <c r="F152" s="401"/>
      <c r="G152" s="401"/>
      <c r="H152" s="401"/>
      <c r="I152" s="401"/>
      <c r="J152" s="401"/>
      <c r="K152" s="401"/>
      <c r="L152" s="401"/>
      <c r="M152" s="401"/>
      <c r="N152" s="401"/>
      <c r="O152" s="401"/>
      <c r="P152" s="402"/>
    </row>
    <row r="153" spans="1:16" s="3" customFormat="1" ht="15.75" customHeight="1" thickBot="1" x14ac:dyDescent="0.25">
      <c r="A153" s="403" t="s">
        <v>36</v>
      </c>
      <c r="B153" s="404"/>
      <c r="C153" s="404"/>
      <c r="D153" s="404"/>
      <c r="E153" s="404"/>
      <c r="F153" s="404"/>
      <c r="G153" s="404"/>
      <c r="H153" s="404"/>
      <c r="I153" s="404"/>
      <c r="J153" s="404" t="s">
        <v>37</v>
      </c>
      <c r="K153" s="404"/>
      <c r="L153" s="404"/>
      <c r="M153" s="404"/>
      <c r="N153" s="404"/>
      <c r="O153" s="404"/>
      <c r="P153" s="405"/>
    </row>
  </sheetData>
  <mergeCells count="3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14:M118"/>
    <mergeCell ref="N114:N118"/>
    <mergeCell ref="O114:O118"/>
    <mergeCell ref="P114:P118"/>
    <mergeCell ref="B119:B124"/>
    <mergeCell ref="C119:P124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C125:H125"/>
    <mergeCell ref="I125:I126"/>
    <mergeCell ref="K125:P125"/>
    <mergeCell ref="C126:H126"/>
    <mergeCell ref="K126:P126"/>
    <mergeCell ref="B127:B137"/>
    <mergeCell ref="C127:C131"/>
    <mergeCell ref="D127:D131"/>
    <mergeCell ref="E127:E137"/>
    <mergeCell ref="K127:K137"/>
    <mergeCell ref="B138:J139"/>
    <mergeCell ref="O138:O139"/>
    <mergeCell ref="P138:P139"/>
    <mergeCell ref="B140:F140"/>
    <mergeCell ref="G140:K140"/>
    <mergeCell ref="L140:P140"/>
    <mergeCell ref="L127:L137"/>
    <mergeCell ref="M127:M137"/>
    <mergeCell ref="N127:N137"/>
    <mergeCell ref="O127:O137"/>
    <mergeCell ref="P127:P137"/>
    <mergeCell ref="C132:C137"/>
    <mergeCell ref="D132:D137"/>
    <mergeCell ref="B141:F147"/>
    <mergeCell ref="G141:K147"/>
    <mergeCell ref="L141:N141"/>
    <mergeCell ref="O141:P141"/>
    <mergeCell ref="L142:N142"/>
    <mergeCell ref="O142:P142"/>
    <mergeCell ref="L143:P145"/>
    <mergeCell ref="L146:O146"/>
    <mergeCell ref="L147:O147"/>
    <mergeCell ref="B152:P152"/>
    <mergeCell ref="A153:C153"/>
    <mergeCell ref="D153:I153"/>
    <mergeCell ref="J153:K153"/>
    <mergeCell ref="L153:P153"/>
    <mergeCell ref="B148:P148"/>
    <mergeCell ref="A149:P149"/>
    <mergeCell ref="B150:F150"/>
    <mergeCell ref="G150:K150"/>
    <mergeCell ref="L150:P150"/>
    <mergeCell ref="B151:F151"/>
    <mergeCell ref="G151:K151"/>
    <mergeCell ref="L151:P151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Planta y sección típica</vt:lpstr>
      <vt:lpstr>Aforo 1</vt:lpstr>
      <vt:lpstr>Aforo 2</vt:lpstr>
      <vt:lpstr>Aforo 3</vt:lpstr>
      <vt:lpstr>Aforo 4</vt:lpstr>
      <vt:lpstr>'Aforo 3'!Área_de_impresión</vt:lpstr>
      <vt:lpstr>'Aforo 4'!Área_de_impresión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2019-05-17T15:38:02Z</dcterms:modified>
</cp:coreProperties>
</file>