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38" r:id="rId2"/>
    <sheet name="Aforo 2" sheetId="139" r:id="rId3"/>
    <sheet name="Aforo 3" sheetId="140" r:id="rId4"/>
    <sheet name="Aforo 4" sheetId="141" r:id="rId5"/>
  </sheets>
  <definedNames>
    <definedName name="_xlnm.Print_Area" localSheetId="1">'Aforo 1'!$B$1:$P$108</definedName>
    <definedName name="_xlnm.Print_Area" localSheetId="2">'Aforo 2'!$B$1:$P$134</definedName>
    <definedName name="_xlnm.Print_Area" localSheetId="3">'Aforo 3'!$B$1:$P$203</definedName>
    <definedName name="_xlnm.Print_Area" localSheetId="4">'Aforo 4'!$B$1:$P$143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2" i="141" l="1"/>
  <c r="O131" i="141"/>
  <c r="G126" i="141"/>
  <c r="G122" i="141"/>
  <c r="D122" i="141"/>
  <c r="G120" i="141"/>
  <c r="G119" i="141"/>
  <c r="K117" i="141"/>
  <c r="E117" i="141"/>
  <c r="G125" i="141" s="1"/>
  <c r="D117" i="141"/>
  <c r="G108" i="141"/>
  <c r="G107" i="141"/>
  <c r="G106" i="141"/>
  <c r="G105" i="141"/>
  <c r="K104" i="141"/>
  <c r="G103" i="141"/>
  <c r="G102" i="141"/>
  <c r="G101" i="141"/>
  <c r="G100" i="141"/>
  <c r="K99" i="141"/>
  <c r="G98" i="141"/>
  <c r="G97" i="141"/>
  <c r="G96" i="141"/>
  <c r="G95" i="141"/>
  <c r="K94" i="141"/>
  <c r="G93" i="141"/>
  <c r="G92" i="141"/>
  <c r="G91" i="141"/>
  <c r="G90" i="141"/>
  <c r="G88" i="141"/>
  <c r="G87" i="141"/>
  <c r="G86" i="141"/>
  <c r="G85" i="141"/>
  <c r="K84" i="141"/>
  <c r="G83" i="141"/>
  <c r="G82" i="141"/>
  <c r="G81" i="141"/>
  <c r="G80" i="141"/>
  <c r="K79" i="141"/>
  <c r="G78" i="141"/>
  <c r="G77" i="141"/>
  <c r="G76" i="141"/>
  <c r="G75" i="141"/>
  <c r="K74" i="141"/>
  <c r="G73" i="141"/>
  <c r="G72" i="141"/>
  <c r="G71" i="141"/>
  <c r="G70" i="141"/>
  <c r="K69" i="141"/>
  <c r="G68" i="141"/>
  <c r="G67" i="141"/>
  <c r="G66" i="141"/>
  <c r="G65" i="141"/>
  <c r="K64" i="141"/>
  <c r="G63" i="141"/>
  <c r="G62" i="141"/>
  <c r="G61" i="141"/>
  <c r="G60" i="141"/>
  <c r="K59" i="141"/>
  <c r="G58" i="141"/>
  <c r="G57" i="141"/>
  <c r="G56" i="141"/>
  <c r="G55" i="141"/>
  <c r="K54" i="141"/>
  <c r="G53" i="141"/>
  <c r="G52" i="141"/>
  <c r="G51" i="141"/>
  <c r="G50" i="141"/>
  <c r="K49" i="141"/>
  <c r="G48" i="141"/>
  <c r="G47" i="141"/>
  <c r="G46" i="141"/>
  <c r="G45" i="141"/>
  <c r="K44" i="141"/>
  <c r="G43" i="141"/>
  <c r="G42" i="141"/>
  <c r="G41" i="141"/>
  <c r="G40" i="141"/>
  <c r="G38" i="141"/>
  <c r="G37" i="141"/>
  <c r="G36" i="141"/>
  <c r="G35" i="141"/>
  <c r="K34" i="141"/>
  <c r="G33" i="141"/>
  <c r="G32" i="141"/>
  <c r="G31" i="141"/>
  <c r="G30" i="141"/>
  <c r="K29" i="141"/>
  <c r="G28" i="141"/>
  <c r="G27" i="141"/>
  <c r="G26" i="141"/>
  <c r="G25" i="141"/>
  <c r="K24" i="141"/>
  <c r="B24" i="141"/>
  <c r="B29" i="141" s="1"/>
  <c r="B34" i="141" s="1"/>
  <c r="B39" i="141" s="1"/>
  <c r="B44" i="141" s="1"/>
  <c r="B49" i="141" s="1"/>
  <c r="B54" i="141" s="1"/>
  <c r="B59" i="141" s="1"/>
  <c r="B64" i="141" s="1"/>
  <c r="B69" i="141" s="1"/>
  <c r="B74" i="141" s="1"/>
  <c r="B79" i="141" s="1"/>
  <c r="B84" i="141" s="1"/>
  <c r="B89" i="141" s="1"/>
  <c r="G23" i="141"/>
  <c r="G22" i="141"/>
  <c r="G21" i="141"/>
  <c r="G20" i="141"/>
  <c r="K19" i="141"/>
  <c r="C18" i="141"/>
  <c r="C19" i="141" s="1"/>
  <c r="B94" i="141" l="1"/>
  <c r="B99" i="141" s="1"/>
  <c r="B104" i="141" s="1"/>
  <c r="B117" i="141"/>
  <c r="C24" i="141"/>
  <c r="L19" i="141"/>
  <c r="M19" i="141"/>
  <c r="G121" i="141"/>
  <c r="G123" i="141"/>
  <c r="G127" i="141"/>
  <c r="G118" i="141"/>
  <c r="G124" i="141"/>
  <c r="C29" i="141" l="1"/>
  <c r="L24" i="141"/>
  <c r="M24" i="141" s="1"/>
  <c r="C34" i="141" l="1"/>
  <c r="L29" i="141"/>
  <c r="M29" i="141" s="1"/>
  <c r="C39" i="141" l="1"/>
  <c r="C44" i="141" s="1"/>
  <c r="L34" i="141"/>
  <c r="M34" i="141" s="1"/>
  <c r="C49" i="141" l="1"/>
  <c r="L44" i="141"/>
  <c r="M44" i="141" s="1"/>
  <c r="C54" i="141" l="1"/>
  <c r="L49" i="141"/>
  <c r="M49" i="141" s="1"/>
  <c r="C59" i="141" l="1"/>
  <c r="L54" i="141"/>
  <c r="M54" i="141" s="1"/>
  <c r="C64" i="141" l="1"/>
  <c r="L59" i="141"/>
  <c r="M59" i="141" s="1"/>
  <c r="C69" i="141" l="1"/>
  <c r="L64" i="141"/>
  <c r="M64" i="141" s="1"/>
  <c r="C74" i="141" l="1"/>
  <c r="L69" i="141"/>
  <c r="M69" i="141" s="1"/>
  <c r="C79" i="141" l="1"/>
  <c r="L74" i="141"/>
  <c r="M74" i="141" s="1"/>
  <c r="C84" i="141" l="1"/>
  <c r="L79" i="141"/>
  <c r="M79" i="141" s="1"/>
  <c r="C117" i="141" l="1"/>
  <c r="C89" i="141"/>
  <c r="L84" i="141"/>
  <c r="M84" i="141" s="1"/>
  <c r="C122" i="141" l="1"/>
  <c r="L117" i="141" s="1"/>
  <c r="C94" i="141"/>
  <c r="M117" i="141" l="1"/>
  <c r="C99" i="141"/>
  <c r="L94" i="141"/>
  <c r="M94" i="141" s="1"/>
  <c r="C104" i="141" l="1"/>
  <c r="L104" i="141" s="1"/>
  <c r="M104" i="141" s="1"/>
  <c r="L99" i="141"/>
  <c r="M99" i="141" s="1"/>
  <c r="L128" i="141"/>
  <c r="M128" i="141"/>
  <c r="K128" i="141" l="1"/>
  <c r="N19" i="141"/>
  <c r="N24" i="141"/>
  <c r="N29" i="141"/>
  <c r="N34" i="141"/>
  <c r="N44" i="141"/>
  <c r="N49" i="141"/>
  <c r="N54" i="141"/>
  <c r="N59" i="141"/>
  <c r="N64" i="141"/>
  <c r="N69" i="141"/>
  <c r="N74" i="141"/>
  <c r="N79" i="141"/>
  <c r="N84" i="141"/>
  <c r="N99" i="141"/>
  <c r="N94" i="141"/>
  <c r="N117" i="141"/>
  <c r="N104" i="141"/>
  <c r="N128" i="141" l="1"/>
  <c r="O192" i="140" l="1"/>
  <c r="O191" i="140"/>
  <c r="G186" i="140"/>
  <c r="G182" i="140"/>
  <c r="D182" i="140"/>
  <c r="G180" i="140"/>
  <c r="K177" i="140"/>
  <c r="E177" i="140"/>
  <c r="G185" i="140" s="1"/>
  <c r="D177" i="140"/>
  <c r="G168" i="140"/>
  <c r="G167" i="140"/>
  <c r="G166" i="140"/>
  <c r="G165" i="140"/>
  <c r="K164" i="140"/>
  <c r="G163" i="140"/>
  <c r="G162" i="140"/>
  <c r="G161" i="140"/>
  <c r="G160" i="140"/>
  <c r="K159" i="140"/>
  <c r="G158" i="140"/>
  <c r="G157" i="140"/>
  <c r="G156" i="140"/>
  <c r="G155" i="140"/>
  <c r="K154" i="140"/>
  <c r="G153" i="140"/>
  <c r="G152" i="140"/>
  <c r="G151" i="140"/>
  <c r="G150" i="140"/>
  <c r="K149" i="140"/>
  <c r="G148" i="140"/>
  <c r="G147" i="140"/>
  <c r="G146" i="140"/>
  <c r="G145" i="140"/>
  <c r="K144" i="140"/>
  <c r="G143" i="140"/>
  <c r="G142" i="140"/>
  <c r="G141" i="140"/>
  <c r="G140" i="140"/>
  <c r="G138" i="140"/>
  <c r="G137" i="140"/>
  <c r="G136" i="140"/>
  <c r="G135" i="140"/>
  <c r="K134" i="140"/>
  <c r="G133" i="140"/>
  <c r="G132" i="140"/>
  <c r="G131" i="140"/>
  <c r="G130" i="140"/>
  <c r="K129" i="140"/>
  <c r="G128" i="140"/>
  <c r="G127" i="140"/>
  <c r="G126" i="140"/>
  <c r="G125" i="140"/>
  <c r="K124" i="140"/>
  <c r="G123" i="140"/>
  <c r="G122" i="140"/>
  <c r="G121" i="140"/>
  <c r="G120" i="140"/>
  <c r="K119" i="140"/>
  <c r="G118" i="140"/>
  <c r="G117" i="140"/>
  <c r="G116" i="140"/>
  <c r="G115" i="140"/>
  <c r="K114" i="140"/>
  <c r="G113" i="140"/>
  <c r="G112" i="140"/>
  <c r="G111" i="140"/>
  <c r="G110" i="140"/>
  <c r="K109" i="140"/>
  <c r="G108" i="140"/>
  <c r="G107" i="140"/>
  <c r="G106" i="140"/>
  <c r="G105" i="140"/>
  <c r="K104" i="140"/>
  <c r="G103" i="140"/>
  <c r="G102" i="140"/>
  <c r="G101" i="140"/>
  <c r="G100" i="140"/>
  <c r="K99" i="140"/>
  <c r="G98" i="140"/>
  <c r="G97" i="140"/>
  <c r="G96" i="140"/>
  <c r="G95" i="140"/>
  <c r="K94" i="140"/>
  <c r="G93" i="140"/>
  <c r="G92" i="140"/>
  <c r="G91" i="140"/>
  <c r="G90" i="140"/>
  <c r="K89" i="140"/>
  <c r="G88" i="140"/>
  <c r="G87" i="140"/>
  <c r="G86" i="140"/>
  <c r="G85" i="140"/>
  <c r="K84" i="140"/>
  <c r="G83" i="140"/>
  <c r="G82" i="140"/>
  <c r="G81" i="140"/>
  <c r="G80" i="140"/>
  <c r="K79" i="140"/>
  <c r="G78" i="140"/>
  <c r="G77" i="140"/>
  <c r="G76" i="140"/>
  <c r="G75" i="140"/>
  <c r="K74" i="140"/>
  <c r="G73" i="140"/>
  <c r="G72" i="140"/>
  <c r="G71" i="140"/>
  <c r="G70" i="140"/>
  <c r="K69" i="140"/>
  <c r="G68" i="140"/>
  <c r="G67" i="140"/>
  <c r="G66" i="140"/>
  <c r="G65" i="140"/>
  <c r="K64" i="140"/>
  <c r="G63" i="140"/>
  <c r="G62" i="140"/>
  <c r="G61" i="140"/>
  <c r="G60" i="140"/>
  <c r="K59" i="140"/>
  <c r="G58" i="140"/>
  <c r="G57" i="140"/>
  <c r="G56" i="140"/>
  <c r="G55" i="140"/>
  <c r="K54" i="140"/>
  <c r="G53" i="140"/>
  <c r="G52" i="140"/>
  <c r="G51" i="140"/>
  <c r="G50" i="140"/>
  <c r="K49" i="140"/>
  <c r="G48" i="140"/>
  <c r="G47" i="140"/>
  <c r="G46" i="140"/>
  <c r="G45" i="140"/>
  <c r="K44" i="140"/>
  <c r="G43" i="140"/>
  <c r="G42" i="140"/>
  <c r="G41" i="140"/>
  <c r="G40" i="140"/>
  <c r="K39" i="140"/>
  <c r="G38" i="140"/>
  <c r="G37" i="140"/>
  <c r="G36" i="140"/>
  <c r="G35" i="140"/>
  <c r="K34" i="140"/>
  <c r="G33" i="140"/>
  <c r="G32" i="140"/>
  <c r="G31" i="140"/>
  <c r="G30" i="140"/>
  <c r="K29" i="140"/>
  <c r="G28" i="140"/>
  <c r="G27" i="140"/>
  <c r="G26" i="140"/>
  <c r="G25" i="140"/>
  <c r="K24" i="140"/>
  <c r="B24" i="140"/>
  <c r="B29" i="140" s="1"/>
  <c r="B34" i="140" s="1"/>
  <c r="B39" i="140" s="1"/>
  <c r="B44" i="140" s="1"/>
  <c r="B49" i="140" s="1"/>
  <c r="B54" i="140" s="1"/>
  <c r="B59" i="140" s="1"/>
  <c r="B64" i="140" s="1"/>
  <c r="B69" i="140" s="1"/>
  <c r="B74" i="140" s="1"/>
  <c r="B79" i="140" s="1"/>
  <c r="B84" i="140" s="1"/>
  <c r="B89" i="140" s="1"/>
  <c r="B94" i="140" s="1"/>
  <c r="B99" i="140" s="1"/>
  <c r="B104" i="140" s="1"/>
  <c r="B109" i="140" s="1"/>
  <c r="B114" i="140" s="1"/>
  <c r="B119" i="140" s="1"/>
  <c r="B124" i="140" s="1"/>
  <c r="B129" i="140" s="1"/>
  <c r="B134" i="140" s="1"/>
  <c r="B139" i="140" s="1"/>
  <c r="G23" i="140"/>
  <c r="G22" i="140"/>
  <c r="G21" i="140"/>
  <c r="G20" i="140"/>
  <c r="K19" i="140"/>
  <c r="C18" i="140"/>
  <c r="C19" i="140" s="1"/>
  <c r="B177" i="140" l="1"/>
  <c r="B144" i="140"/>
  <c r="B149" i="140" s="1"/>
  <c r="B154" i="140" s="1"/>
  <c r="B159" i="140" s="1"/>
  <c r="B164" i="140" s="1"/>
  <c r="C24" i="140"/>
  <c r="L19" i="140"/>
  <c r="G181" i="140"/>
  <c r="G183" i="140"/>
  <c r="G187" i="140"/>
  <c r="G178" i="140"/>
  <c r="G184" i="140"/>
  <c r="G179" i="140"/>
  <c r="C29" i="140" l="1"/>
  <c r="L24" i="140"/>
  <c r="M24" i="140" s="1"/>
  <c r="M19" i="140"/>
  <c r="C34" i="140" l="1"/>
  <c r="L29" i="140"/>
  <c r="M29" i="140" s="1"/>
  <c r="C39" i="140" l="1"/>
  <c r="L34" i="140"/>
  <c r="M34" i="140" s="1"/>
  <c r="C44" i="140" l="1"/>
  <c r="L39" i="140"/>
  <c r="M39" i="140" s="1"/>
  <c r="C49" i="140" l="1"/>
  <c r="L44" i="140"/>
  <c r="M44" i="140" s="1"/>
  <c r="C54" i="140" l="1"/>
  <c r="L49" i="140"/>
  <c r="M49" i="140" s="1"/>
  <c r="C59" i="140" l="1"/>
  <c r="L54" i="140"/>
  <c r="M54" i="140" s="1"/>
  <c r="C64" i="140" l="1"/>
  <c r="L59" i="140"/>
  <c r="M59" i="140" s="1"/>
  <c r="C69" i="140" l="1"/>
  <c r="L64" i="140"/>
  <c r="M64" i="140" s="1"/>
  <c r="C74" i="140" l="1"/>
  <c r="L69" i="140"/>
  <c r="M69" i="140" s="1"/>
  <c r="C79" i="140" l="1"/>
  <c r="L74" i="140"/>
  <c r="M74" i="140" s="1"/>
  <c r="C84" i="140" l="1"/>
  <c r="L79" i="140"/>
  <c r="M79" i="140" s="1"/>
  <c r="C89" i="140" l="1"/>
  <c r="L84" i="140"/>
  <c r="M84" i="140" s="1"/>
  <c r="C94" i="140" l="1"/>
  <c r="L89" i="140"/>
  <c r="M89" i="140" s="1"/>
  <c r="C99" i="140" l="1"/>
  <c r="L94" i="140"/>
  <c r="M94" i="140" s="1"/>
  <c r="C104" i="140" l="1"/>
  <c r="L99" i="140"/>
  <c r="M99" i="140" s="1"/>
  <c r="C109" i="140" l="1"/>
  <c r="L104" i="140"/>
  <c r="M104" i="140" s="1"/>
  <c r="C114" i="140" l="1"/>
  <c r="L109" i="140"/>
  <c r="M109" i="140" s="1"/>
  <c r="C119" i="140" l="1"/>
  <c r="L114" i="140"/>
  <c r="M114" i="140" s="1"/>
  <c r="C124" i="140" l="1"/>
  <c r="L119" i="140"/>
  <c r="M119" i="140" s="1"/>
  <c r="C129" i="140" l="1"/>
  <c r="L124" i="140"/>
  <c r="M124" i="140" s="1"/>
  <c r="C134" i="140" l="1"/>
  <c r="L129" i="140"/>
  <c r="M129" i="140" s="1"/>
  <c r="C177" i="140" l="1"/>
  <c r="C139" i="140"/>
  <c r="L134" i="140"/>
  <c r="M134" i="140" s="1"/>
  <c r="C182" i="140" l="1"/>
  <c r="L177" i="140" s="1"/>
  <c r="C144" i="140"/>
  <c r="M177" i="140" l="1"/>
  <c r="C149" i="140"/>
  <c r="L144" i="140"/>
  <c r="M144" i="140" s="1"/>
  <c r="C154" i="140" l="1"/>
  <c r="L149" i="140"/>
  <c r="M149" i="140" s="1"/>
  <c r="C159" i="140" l="1"/>
  <c r="L154" i="140"/>
  <c r="M154" i="140" s="1"/>
  <c r="C164" i="140" l="1"/>
  <c r="L164" i="140" s="1"/>
  <c r="M164" i="140" s="1"/>
  <c r="M188" i="140" s="1"/>
  <c r="L159" i="140"/>
  <c r="M159" i="140" s="1"/>
  <c r="N24" i="140" l="1"/>
  <c r="N19" i="140"/>
  <c r="N29" i="140"/>
  <c r="N34" i="140"/>
  <c r="N39" i="140"/>
  <c r="N44" i="140"/>
  <c r="N49" i="140"/>
  <c r="N54" i="140"/>
  <c r="N59" i="140"/>
  <c r="N64" i="140"/>
  <c r="N69" i="140"/>
  <c r="N74" i="140"/>
  <c r="N79" i="140"/>
  <c r="N84" i="140"/>
  <c r="N89" i="140"/>
  <c r="N94" i="140"/>
  <c r="N99" i="140"/>
  <c r="N104" i="140"/>
  <c r="N109" i="140"/>
  <c r="N114" i="140"/>
  <c r="N119" i="140"/>
  <c r="N124" i="140"/>
  <c r="N129" i="140"/>
  <c r="N134" i="140"/>
  <c r="N144" i="140"/>
  <c r="N177" i="140"/>
  <c r="N149" i="140"/>
  <c r="N154" i="140"/>
  <c r="L188" i="140"/>
  <c r="K188" i="140" s="1"/>
  <c r="N164" i="140"/>
  <c r="N159" i="140"/>
  <c r="N188" i="140" l="1"/>
  <c r="O122" i="139" l="1"/>
  <c r="O121" i="139"/>
  <c r="G116" i="139"/>
  <c r="G112" i="139"/>
  <c r="D112" i="139"/>
  <c r="G110" i="139"/>
  <c r="K107" i="139"/>
  <c r="E107" i="139"/>
  <c r="G115" i="139" s="1"/>
  <c r="D107" i="139"/>
  <c r="B107" i="139"/>
  <c r="G98" i="139"/>
  <c r="G97" i="139"/>
  <c r="G96" i="139"/>
  <c r="G95" i="139"/>
  <c r="K94" i="139"/>
  <c r="G93" i="139"/>
  <c r="G92" i="139"/>
  <c r="G91" i="139"/>
  <c r="G90" i="139"/>
  <c r="K89" i="139"/>
  <c r="G88" i="139"/>
  <c r="G87" i="139"/>
  <c r="G86" i="139"/>
  <c r="G85" i="139"/>
  <c r="K84" i="139"/>
  <c r="G83" i="139"/>
  <c r="G82" i="139"/>
  <c r="G81" i="139"/>
  <c r="G80" i="139"/>
  <c r="G78" i="139"/>
  <c r="G77" i="139"/>
  <c r="G76" i="139"/>
  <c r="G75" i="139"/>
  <c r="K74" i="139"/>
  <c r="G73" i="139"/>
  <c r="G72" i="139"/>
  <c r="G71" i="139"/>
  <c r="G70" i="139"/>
  <c r="K69" i="139"/>
  <c r="G68" i="139"/>
  <c r="G67" i="139"/>
  <c r="G66" i="139"/>
  <c r="G65" i="139"/>
  <c r="K64" i="139"/>
  <c r="G63" i="139"/>
  <c r="G62" i="139"/>
  <c r="G61" i="139"/>
  <c r="G60" i="139"/>
  <c r="K59" i="139"/>
  <c r="G58" i="139"/>
  <c r="G57" i="139"/>
  <c r="G56" i="139"/>
  <c r="G55" i="139"/>
  <c r="K54" i="139"/>
  <c r="G53" i="139"/>
  <c r="G52" i="139"/>
  <c r="G51" i="139"/>
  <c r="G50" i="139"/>
  <c r="K49" i="139"/>
  <c r="G48" i="139"/>
  <c r="G47" i="139"/>
  <c r="G46" i="139"/>
  <c r="G45" i="139"/>
  <c r="K44" i="139"/>
  <c r="G43" i="139"/>
  <c r="G42" i="139"/>
  <c r="G41" i="139"/>
  <c r="G40" i="139"/>
  <c r="K39" i="139"/>
  <c r="G38" i="139"/>
  <c r="G37" i="139"/>
  <c r="G36" i="139"/>
  <c r="G35" i="139"/>
  <c r="K34" i="139"/>
  <c r="G33" i="139"/>
  <c r="G32" i="139"/>
  <c r="G31" i="139"/>
  <c r="G30" i="139"/>
  <c r="K29" i="139"/>
  <c r="G28" i="139"/>
  <c r="G27" i="139"/>
  <c r="G26" i="139"/>
  <c r="G25" i="139"/>
  <c r="K24" i="139"/>
  <c r="G23" i="139"/>
  <c r="G22" i="139"/>
  <c r="G21" i="139"/>
  <c r="G20" i="139"/>
  <c r="K19" i="139"/>
  <c r="C18" i="139"/>
  <c r="C19" i="139" s="1"/>
  <c r="L19" i="139" l="1"/>
  <c r="C24" i="139"/>
  <c r="G111" i="139"/>
  <c r="G113" i="139"/>
  <c r="G117" i="139"/>
  <c r="G108" i="139"/>
  <c r="G114" i="139"/>
  <c r="G109" i="139"/>
  <c r="L24" i="139" l="1"/>
  <c r="M24" i="139" s="1"/>
  <c r="C29" i="139"/>
  <c r="M19" i="139"/>
  <c r="L29" i="139" l="1"/>
  <c r="M29" i="139" s="1"/>
  <c r="C34" i="139"/>
  <c r="C39" i="139" l="1"/>
  <c r="L34" i="139"/>
  <c r="M34" i="139" s="1"/>
  <c r="C44" i="139" l="1"/>
  <c r="L39" i="139"/>
  <c r="M39" i="139" s="1"/>
  <c r="L44" i="139" l="1"/>
  <c r="M44" i="139" s="1"/>
  <c r="C49" i="139"/>
  <c r="L49" i="139" l="1"/>
  <c r="M49" i="139" s="1"/>
  <c r="C54" i="139"/>
  <c r="C59" i="139" l="1"/>
  <c r="L54" i="139"/>
  <c r="M54" i="139" s="1"/>
  <c r="C64" i="139" l="1"/>
  <c r="L59" i="139"/>
  <c r="M59" i="139" s="1"/>
  <c r="L64" i="139" l="1"/>
  <c r="M64" i="139" s="1"/>
  <c r="C69" i="139"/>
  <c r="L69" i="139" l="1"/>
  <c r="M69" i="139" s="1"/>
  <c r="C74" i="139"/>
  <c r="C107" i="139" l="1"/>
  <c r="C79" i="139"/>
  <c r="L74" i="139"/>
  <c r="M74" i="139" s="1"/>
  <c r="C84" i="139" l="1"/>
  <c r="C112" i="139"/>
  <c r="L107" i="139" s="1"/>
  <c r="M107" i="139" l="1"/>
  <c r="L84" i="139"/>
  <c r="M84" i="139" s="1"/>
  <c r="C89" i="139"/>
  <c r="L94" i="139" l="1"/>
  <c r="M94" i="139" s="1"/>
  <c r="L89" i="139"/>
  <c r="M89" i="139" s="1"/>
  <c r="L118" i="139"/>
  <c r="N84" i="139"/>
  <c r="M118" i="139"/>
  <c r="K118" i="139" l="1"/>
  <c r="N19" i="139"/>
  <c r="N24" i="139"/>
  <c r="N29" i="139"/>
  <c r="N34" i="139"/>
  <c r="N39" i="139"/>
  <c r="N44" i="139"/>
  <c r="N49" i="139"/>
  <c r="N54" i="139"/>
  <c r="N59" i="139"/>
  <c r="N64" i="139"/>
  <c r="N69" i="139"/>
  <c r="N74" i="139"/>
  <c r="N89" i="139"/>
  <c r="N107" i="139"/>
  <c r="N94" i="139"/>
  <c r="N118" i="139" l="1"/>
  <c r="O97" i="138" l="1"/>
  <c r="O96" i="138"/>
  <c r="G91" i="138"/>
  <c r="G87" i="138"/>
  <c r="D87" i="138"/>
  <c r="G85" i="138"/>
  <c r="G83" i="138"/>
  <c r="K82" i="138"/>
  <c r="E82" i="138"/>
  <c r="G90" i="138" s="1"/>
  <c r="D82" i="138"/>
  <c r="B82" i="138"/>
  <c r="G73" i="138"/>
  <c r="G72" i="138"/>
  <c r="G71" i="138"/>
  <c r="G70" i="138"/>
  <c r="K69" i="138"/>
  <c r="G68" i="138"/>
  <c r="G67" i="138"/>
  <c r="G66" i="138"/>
  <c r="G65" i="138"/>
  <c r="K64" i="138"/>
  <c r="G63" i="138"/>
  <c r="G62" i="138"/>
  <c r="G61" i="138"/>
  <c r="G60" i="138"/>
  <c r="G58" i="138"/>
  <c r="G57" i="138"/>
  <c r="G56" i="138"/>
  <c r="G55" i="138"/>
  <c r="K54" i="138"/>
  <c r="G53" i="138"/>
  <c r="G52" i="138"/>
  <c r="G51" i="138"/>
  <c r="G50" i="138"/>
  <c r="K49" i="138"/>
  <c r="G48" i="138"/>
  <c r="G47" i="138"/>
  <c r="G46" i="138"/>
  <c r="G45" i="138"/>
  <c r="K44" i="138"/>
  <c r="G43" i="138"/>
  <c r="G42" i="138"/>
  <c r="G41" i="138"/>
  <c r="G40" i="138"/>
  <c r="K39" i="138"/>
  <c r="G38" i="138"/>
  <c r="G37" i="138"/>
  <c r="G36" i="138"/>
  <c r="G35" i="138"/>
  <c r="K34" i="138"/>
  <c r="G33" i="138"/>
  <c r="G32" i="138"/>
  <c r="G31" i="138"/>
  <c r="G30" i="138"/>
  <c r="K29" i="138"/>
  <c r="G28" i="138"/>
  <c r="G27" i="138"/>
  <c r="G26" i="138"/>
  <c r="G25" i="138"/>
  <c r="K24" i="138"/>
  <c r="G23" i="138"/>
  <c r="G22" i="138"/>
  <c r="G21" i="138"/>
  <c r="G20" i="138"/>
  <c r="K19" i="138"/>
  <c r="C18" i="138"/>
  <c r="C19" i="138" s="1"/>
  <c r="L19" i="138" l="1"/>
  <c r="M19" i="138" s="1"/>
  <c r="C24" i="138"/>
  <c r="G86" i="138"/>
  <c r="G88" i="138"/>
  <c r="G92" i="138"/>
  <c r="G89" i="138"/>
  <c r="G84" i="138"/>
  <c r="L24" i="138" l="1"/>
  <c r="M24" i="138" s="1"/>
  <c r="C29" i="138"/>
  <c r="L29" i="138" l="1"/>
  <c r="M29" i="138" s="1"/>
  <c r="C34" i="138"/>
  <c r="C39" i="138" l="1"/>
  <c r="L34" i="138"/>
  <c r="M34" i="138" s="1"/>
  <c r="L39" i="138" l="1"/>
  <c r="M39" i="138" s="1"/>
  <c r="C44" i="138"/>
  <c r="L44" i="138" l="1"/>
  <c r="M44" i="138" s="1"/>
  <c r="C49" i="138"/>
  <c r="L49" i="138" l="1"/>
  <c r="M49" i="138" s="1"/>
  <c r="C54" i="138"/>
  <c r="C82" i="138" l="1"/>
  <c r="C59" i="138"/>
  <c r="L54" i="138"/>
  <c r="M54" i="138" s="1"/>
  <c r="C87" i="138" l="1"/>
  <c r="L82" i="138" s="1"/>
  <c r="C64" i="138"/>
  <c r="L64" i="138" l="1"/>
  <c r="M64" i="138" s="1"/>
  <c r="C69" i="138"/>
  <c r="L69" i="138" s="1"/>
  <c r="M69" i="138" s="1"/>
  <c r="M82" i="138"/>
  <c r="L93" i="138"/>
  <c r="M93" i="138" l="1"/>
  <c r="K93" i="138" l="1"/>
  <c r="N19" i="138"/>
  <c r="N24" i="138"/>
  <c r="N29" i="138"/>
  <c r="N34" i="138"/>
  <c r="N39" i="138"/>
  <c r="N44" i="138"/>
  <c r="N49" i="138"/>
  <c r="N54" i="138"/>
  <c r="N64" i="138"/>
  <c r="N69" i="138"/>
  <c r="N82" i="138"/>
  <c r="N93" i="138" l="1"/>
</calcChain>
</file>

<file path=xl/sharedStrings.xml><?xml version="1.0" encoding="utf-8"?>
<sst xmlns="http://schemas.openxmlformats.org/spreadsheetml/2006/main" count="822" uniqueCount="120">
  <si>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</si>
  <si>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</si>
  <si>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</si>
  <si>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</si>
  <si>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</si>
  <si>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</si>
  <si>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</si>
  <si>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</si>
  <si>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</si>
  <si>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</si>
  <si>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</si>
  <si>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</si>
  <si>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</si>
  <si>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</si>
  <si>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</si>
  <si>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</si>
  <si>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</si>
  <si>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</si>
  <si>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</si>
  <si>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</si>
  <si>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</si>
  <si>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</si>
  <si>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</si>
  <si>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</si>
  <si>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</si>
  <si>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</si>
  <si>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</si>
  <si>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</si>
  <si>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</si>
  <si>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</si>
  <si>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</si>
  <si>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</si>
  <si>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</si>
  <si>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</si>
  <si>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</si>
  <si>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</si>
  <si>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</si>
  <si>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</si>
  <si>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</si>
  <si>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</si>
  <si>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</si>
  <si>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</si>
  <si>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</si>
  <si>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</si>
  <si>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</si>
  <si>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</si>
  <si>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</si>
  <si>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</si>
  <si>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</si>
  <si>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</si>
  <si>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</si>
  <si>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</si>
  <si>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</si>
  <si>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</si>
  <si>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</si>
  <si>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</si>
  <si>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</si>
  <si>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</si>
  <si>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</si>
  <si>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</si>
  <si>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</si>
  <si>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</si>
  <si>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</si>
  <si>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</si>
  <si>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</si>
  <si>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</si>
  <si>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</si>
  <si>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</si>
  <si>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</si>
  <si>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</si>
  <si>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</si>
  <si>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</si>
  <si>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</si>
  <si>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</si>
  <si>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</si>
  <si>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</si>
  <si>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</si>
  <si>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</si>
  <si>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</si>
  <si>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</si>
  <si>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</si>
  <si>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</si>
  <si>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</si>
  <si>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</si>
  <si>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</si>
  <si>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</si>
  <si>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</si>
  <si>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</si>
  <si>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</si>
  <si>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</si>
  <si>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</si>
  <si>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</si>
  <si>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</si>
  <si>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</si>
  <si>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</si>
  <si>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</si>
  <si>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</si>
  <si>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</si>
  <si>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</si>
  <si>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</si>
  <si>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</si>
  <si>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</si>
  <si>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</si>
  <si>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Se tomaron muestras de sedimentos en las dovelas #  _____ , _____ , ______ , ______ , _______ </t>
  </si>
  <si>
    <t>SIN DATO</t>
  </si>
  <si>
    <t>C</t>
  </si>
  <si>
    <t xml:space="preserve">RIO SUPIA PIONONOS </t>
  </si>
  <si>
    <t>N 5° 22' 35.14"</t>
  </si>
  <si>
    <t>W 75° 36' 41.87"</t>
  </si>
  <si>
    <t>CALIDO</t>
  </si>
  <si>
    <t>RIO SUPIA LOS PIONONOS</t>
  </si>
  <si>
    <t>SECCION DE AFORO</t>
  </si>
  <si>
    <t>RIO SUPIA- LOS PIONONOS</t>
  </si>
  <si>
    <t>Soleado</t>
  </si>
  <si>
    <t>TOMA DE LA TEMPERATURA</t>
  </si>
  <si>
    <t>DETALLE GENERAL DEL AFORO</t>
  </si>
  <si>
    <t>RIO SUPIA- LOS PIONOS</t>
  </si>
  <si>
    <t>MEDIDA SENSOR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</si>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</sst>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D8D8D8"/>
      </patternFill>
    </fill>
  </fills>
  <borders count="1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29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Font="1" applyBorder="1"/>
    <xf numFmtId="0" fontId="2" fillId="0" borderId="36" xfId="0" applyFont="1" applyBorder="1"/>
    <xf numFmtId="0" fontId="2" fillId="0" borderId="0" xfId="0" applyFont="1"/>
    <xf numFmtId="0" fontId="2" fillId="0" borderId="0" xfId="0" applyFont="1" applyAlignment="1"/>
    <xf numFmtId="0" fontId="17" fillId="6" borderId="75" xfId="0" applyFont="1" applyFill="1" applyBorder="1" applyAlignment="1">
      <alignment horizontal="center" vertical="center"/>
    </xf>
    <xf numFmtId="0" fontId="17" fillId="6" borderId="92" xfId="0" applyFont="1" applyFill="1" applyBorder="1" applyAlignment="1">
      <alignment vertical="center"/>
    </xf>
    <xf numFmtId="0" fontId="17" fillId="6" borderId="92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2" fillId="0" borderId="86" xfId="0" applyFont="1" applyBorder="1"/>
    <xf numFmtId="0" fontId="17" fillId="6" borderId="86" xfId="0" applyFont="1" applyFill="1" applyBorder="1" applyAlignment="1">
      <alignment vertical="center"/>
    </xf>
    <xf numFmtId="0" fontId="17" fillId="6" borderId="95" xfId="0" applyFont="1" applyFill="1" applyBorder="1" applyAlignment="1">
      <alignment horizontal="center" vertical="center"/>
    </xf>
    <xf numFmtId="0" fontId="17" fillId="6" borderId="82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4" xfId="0" applyFont="1" applyFill="1" applyBorder="1" applyAlignment="1">
      <alignment horizontal="center" vertical="center" wrapText="1"/>
    </xf>
    <xf numFmtId="0" fontId="2" fillId="0" borderId="90" xfId="0" applyFont="1" applyFill="1" applyBorder="1" applyAlignment="1">
      <alignment horizontal="center" vertical="center" wrapText="1"/>
    </xf>
    <xf numFmtId="0" fontId="17" fillId="0" borderId="90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/>
    </xf>
    <xf numFmtId="2" fontId="14" fillId="0" borderId="90" xfId="0" applyNumberFormat="1" applyFont="1" applyFill="1" applyBorder="1" applyAlignment="1">
      <alignment vertical="center"/>
    </xf>
    <xf numFmtId="164" fontId="14" fillId="0" borderId="90" xfId="0" applyNumberFormat="1" applyFont="1" applyFill="1" applyBorder="1" applyAlignment="1">
      <alignment vertical="center"/>
    </xf>
    <xf numFmtId="0" fontId="17" fillId="0" borderId="96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vertical="center"/>
    </xf>
    <xf numFmtId="0" fontId="2" fillId="0" borderId="92" xfId="0" applyFont="1" applyFill="1" applyBorder="1"/>
    <xf numFmtId="164" fontId="14" fillId="0" borderId="92" xfId="0" applyNumberFormat="1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vertical="center"/>
    </xf>
    <xf numFmtId="0" fontId="2" fillId="0" borderId="97" xfId="0" applyFont="1" applyFill="1" applyBorder="1"/>
    <xf numFmtId="164" fontId="14" fillId="0" borderId="97" xfId="0" applyNumberFormat="1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/>
    </xf>
    <xf numFmtId="2" fontId="14" fillId="0" borderId="100" xfId="0" applyNumberFormat="1" applyFont="1" applyFill="1" applyBorder="1" applyAlignment="1">
      <alignment horizontal="center" vertical="center"/>
    </xf>
    <xf numFmtId="2" fontId="14" fillId="0" borderId="100" xfId="0" applyNumberFormat="1" applyFont="1" applyFill="1" applyBorder="1" applyAlignment="1">
      <alignment vertical="center"/>
    </xf>
    <xf numFmtId="0" fontId="2" fillId="0" borderId="100" xfId="0" applyFont="1" applyFill="1" applyBorder="1"/>
    <xf numFmtId="164" fontId="14" fillId="0" borderId="100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3" xfId="0" applyFont="1" applyFill="1" applyBorder="1" applyAlignment="1">
      <alignment vertical="center" wrapText="1"/>
    </xf>
    <xf numFmtId="0" fontId="21" fillId="0" borderId="36" xfId="0" applyFont="1" applyBorder="1"/>
    <xf numFmtId="2" fontId="14" fillId="10" borderId="107" xfId="0" applyNumberFormat="1" applyFont="1" applyFill="1" applyBorder="1" applyAlignment="1">
      <alignment horizontal="center" vertical="center"/>
    </xf>
    <xf numFmtId="2" fontId="14" fillId="10" borderId="107" xfId="0" applyNumberFormat="1" applyFont="1" applyFill="1" applyBorder="1" applyAlignment="1">
      <alignment horizontal="center"/>
    </xf>
    <xf numFmtId="164" fontId="2" fillId="10" borderId="107" xfId="0" applyNumberFormat="1" applyFont="1" applyFill="1" applyBorder="1" applyAlignment="1">
      <alignment horizontal="center"/>
    </xf>
    <xf numFmtId="164" fontId="2" fillId="9" borderId="107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7" xfId="0" applyFont="1" applyFill="1" applyBorder="1" applyAlignment="1">
      <alignment horizontal="center"/>
    </xf>
    <xf numFmtId="2" fontId="14" fillId="10" borderId="97" xfId="0" applyNumberFormat="1" applyFont="1" applyFill="1" applyBorder="1" applyAlignment="1">
      <alignment horizontal="center" vertical="center"/>
    </xf>
    <xf numFmtId="2" fontId="14" fillId="10" borderId="97" xfId="0" applyNumberFormat="1" applyFont="1" applyFill="1" applyBorder="1" applyAlignment="1">
      <alignment horizontal="center"/>
    </xf>
    <xf numFmtId="164" fontId="2" fillId="10" borderId="97" xfId="0" applyNumberFormat="1" applyFont="1" applyFill="1" applyBorder="1" applyAlignment="1">
      <alignment horizontal="center"/>
    </xf>
    <xf numFmtId="164" fontId="2" fillId="9" borderId="97" xfId="0" applyNumberFormat="1" applyFont="1" applyFill="1" applyBorder="1" applyAlignment="1">
      <alignment horizontal="center"/>
    </xf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11" borderId="114" xfId="0" applyNumberFormat="1" applyFont="1" applyFill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2" fillId="5" borderId="46" xfId="0" applyFont="1" applyFill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36" xfId="0" applyFont="1" applyFill="1" applyBorder="1" applyAlignment="1">
      <alignment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vertical="center"/>
    </xf>
    <xf numFmtId="0" fontId="22" fillId="0" borderId="46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3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2" fillId="0" borderId="62" xfId="0" applyFont="1" applyFill="1" applyBorder="1" applyAlignment="1">
      <alignment horizontal="center" vertical="center"/>
    </xf>
    <xf numFmtId="0" fontId="23" fillId="0" borderId="69" xfId="0" applyFont="1" applyFill="1" applyBorder="1" applyAlignment="1">
      <alignment vertical="top" wrapText="1"/>
    </xf>
    <xf numFmtId="0" fontId="23" fillId="0" borderId="53" xfId="0" applyFont="1" applyFill="1" applyBorder="1" applyAlignment="1">
      <alignment horizontal="center" vertical="top" wrapText="1"/>
    </xf>
    <xf numFmtId="0" fontId="23" fillId="0" borderId="72" xfId="0" applyFont="1" applyFill="1" applyBorder="1" applyAlignment="1">
      <alignment horizontal="center"/>
    </xf>
    <xf numFmtId="0" fontId="22" fillId="0" borderId="62" xfId="0" applyFont="1" applyFill="1" applyBorder="1" applyAlignment="1">
      <alignment horizontal="center" vertical="top" wrapText="1"/>
    </xf>
    <xf numFmtId="0" fontId="22" fillId="0" borderId="79" xfId="0" applyFont="1" applyFill="1" applyBorder="1" applyAlignment="1">
      <alignment horizontal="center" vertical="center" wrapText="1"/>
    </xf>
    <xf numFmtId="20" fontId="22" fillId="0" borderId="82" xfId="0" applyNumberFormat="1" applyFont="1" applyFill="1" applyBorder="1" applyAlignment="1">
      <alignment horizontal="center" vertical="top"/>
    </xf>
    <xf numFmtId="0" fontId="22" fillId="0" borderId="83" xfId="0" applyFont="1" applyFill="1" applyBorder="1" applyAlignment="1">
      <alignment horizontal="center" vertical="top"/>
    </xf>
    <xf numFmtId="0" fontId="22" fillId="0" borderId="72" xfId="0" applyFont="1" applyFill="1" applyBorder="1" applyAlignment="1">
      <alignment horizontal="center" vertical="center"/>
    </xf>
    <xf numFmtId="0" fontId="22" fillId="0" borderId="86" xfId="0" applyFont="1" applyFill="1" applyBorder="1" applyAlignment="1">
      <alignment horizontal="center" vertical="center"/>
    </xf>
    <xf numFmtId="164" fontId="17" fillId="5" borderId="11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/>
    <xf numFmtId="164" fontId="14" fillId="0" borderId="90" xfId="0" applyNumberFormat="1" applyFont="1" applyFill="1" applyBorder="1" applyAlignment="1">
      <alignment horizontal="center" vertical="center"/>
    </xf>
    <xf numFmtId="2" fontId="14" fillId="0" borderId="90" xfId="0" applyNumberFormat="1" applyFont="1" applyFill="1" applyBorder="1" applyAlignment="1">
      <alignment horizontal="center" vertical="center"/>
    </xf>
    <xf numFmtId="164" fontId="17" fillId="5" borderId="116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124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24" xfId="0" applyFont="1" applyBorder="1" applyAlignment="1">
      <alignment horizontal="center"/>
    </xf>
    <xf numFmtId="0" fontId="3" fillId="0" borderId="12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124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24" xfId="0" applyFont="1" applyFill="1" applyBorder="1" applyAlignment="1">
      <alignment horizontal="center"/>
    </xf>
    <xf numFmtId="0" fontId="1" fillId="4" borderId="125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0" fontId="1" fillId="0" borderId="121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164" fontId="14" fillId="12" borderId="16" xfId="0" applyNumberFormat="1" applyFont="1" applyFill="1" applyBorder="1" applyAlignment="1">
      <alignment horizontal="center"/>
    </xf>
    <xf numFmtId="164" fontId="14" fillId="12" borderId="14" xfId="0" applyNumberFormat="1" applyFont="1" applyFill="1" applyBorder="1" applyAlignment="1">
      <alignment horizontal="center"/>
    </xf>
    <xf numFmtId="0" fontId="0" fillId="0" borderId="117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18" xfId="0" applyFont="1" applyBorder="1" applyAlignment="1">
      <alignment horizontal="center" vertical="center" wrapText="1"/>
    </xf>
    <xf numFmtId="0" fontId="0" fillId="0" borderId="119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2" xfId="0" applyFont="1" applyBorder="1" applyAlignment="1">
      <alignment horizontal="left" wrapText="1"/>
    </xf>
    <xf numFmtId="0" fontId="0" fillId="0" borderId="35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1" xfId="0" applyFont="1" applyFill="1" applyBorder="1" applyAlignment="1">
      <alignment horizontal="center" vertical="top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6" xfId="0" applyFont="1" applyFill="1" applyBorder="1" applyAlignment="1">
      <alignment horizontal="center" vertical="center"/>
    </xf>
    <xf numFmtId="0" fontId="14" fillId="3" borderId="93" xfId="0" applyFont="1" applyFill="1" applyBorder="1"/>
    <xf numFmtId="0" fontId="14" fillId="3" borderId="113" xfId="0" applyFont="1" applyFill="1" applyBorder="1"/>
    <xf numFmtId="166" fontId="14" fillId="10" borderId="106" xfId="0" applyNumberFormat="1" applyFont="1" applyFill="1" applyBorder="1" applyAlignment="1">
      <alignment horizontal="center" vertical="center"/>
    </xf>
    <xf numFmtId="0" fontId="14" fillId="10" borderId="108" xfId="0" applyFont="1" applyFill="1" applyBorder="1" applyAlignment="1">
      <alignment horizontal="center" vertical="center"/>
    </xf>
    <xf numFmtId="0" fontId="14" fillId="3" borderId="110" xfId="0" applyFont="1" applyFill="1" applyBorder="1"/>
    <xf numFmtId="0" fontId="14" fillId="3" borderId="115" xfId="0" applyFont="1" applyFill="1" applyBorder="1"/>
    <xf numFmtId="2" fontId="14" fillId="9" borderId="95" xfId="0" applyNumberFormat="1" applyFont="1" applyFill="1" applyBorder="1" applyAlignment="1">
      <alignment horizontal="center" vertical="center"/>
    </xf>
    <xf numFmtId="164" fontId="14" fillId="9" borderId="95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5" xfId="0" applyFont="1" applyFill="1" applyBorder="1" applyAlignment="1">
      <alignment horizontal="center" vertical="center"/>
    </xf>
    <xf numFmtId="0" fontId="14" fillId="3" borderId="109" xfId="0" applyFont="1" applyFill="1" applyBorder="1"/>
    <xf numFmtId="0" fontId="14" fillId="3" borderId="112" xfId="0" applyFont="1" applyFill="1" applyBorder="1"/>
    <xf numFmtId="2" fontId="14" fillId="9" borderId="106" xfId="0" applyNumberFormat="1" applyFont="1" applyFill="1" applyBorder="1" applyAlignment="1">
      <alignment horizontal="center" vertical="center"/>
    </xf>
    <xf numFmtId="0" fontId="14" fillId="3" borderId="111" xfId="0" applyFont="1" applyFill="1" applyBorder="1"/>
    <xf numFmtId="164" fontId="14" fillId="9" borderId="106" xfId="0" applyNumberFormat="1" applyFont="1" applyFill="1" applyBorder="1" applyAlignment="1">
      <alignment horizontal="center" vertical="center"/>
    </xf>
    <xf numFmtId="164" fontId="14" fillId="10" borderId="106" xfId="0" applyNumberFormat="1" applyFont="1" applyFill="1" applyBorder="1" applyAlignment="1">
      <alignment horizontal="center" vertical="center"/>
    </xf>
    <xf numFmtId="164" fontId="14" fillId="0" borderId="90" xfId="0" applyNumberFormat="1" applyFont="1" applyFill="1" applyBorder="1" applyAlignment="1">
      <alignment horizontal="center" vertical="center"/>
    </xf>
    <xf numFmtId="0" fontId="14" fillId="0" borderId="93" xfId="0" applyFont="1" applyFill="1" applyBorder="1"/>
    <xf numFmtId="0" fontId="14" fillId="0" borderId="99" xfId="0" applyFont="1" applyFill="1" applyBorder="1"/>
    <xf numFmtId="165" fontId="14" fillId="0" borderId="90" xfId="0" applyNumberFormat="1" applyFont="1" applyFill="1" applyBorder="1" applyAlignment="1">
      <alignment horizontal="center" vertical="center"/>
    </xf>
    <xf numFmtId="0" fontId="14" fillId="0" borderId="90" xfId="0" applyFont="1" applyFill="1" applyBorder="1" applyAlignment="1">
      <alignment horizontal="center" vertical="center"/>
    </xf>
    <xf numFmtId="0" fontId="14" fillId="0" borderId="96" xfId="0" applyFont="1" applyFill="1" applyBorder="1" applyAlignment="1">
      <alignment horizontal="center" vertical="center"/>
    </xf>
    <xf numFmtId="0" fontId="14" fillId="0" borderId="98" xfId="0" applyFont="1" applyFill="1" applyBorder="1"/>
    <xf numFmtId="0" fontId="14" fillId="0" borderId="101" xfId="0" applyFont="1" applyFill="1" applyBorder="1"/>
    <xf numFmtId="0" fontId="4" fillId="8" borderId="102" xfId="0" applyFont="1" applyFill="1" applyBorder="1" applyAlignment="1">
      <alignment horizontal="center" vertical="center" textRotation="90"/>
    </xf>
    <xf numFmtId="0" fontId="4" fillId="8" borderId="103" xfId="0" applyFont="1" applyFill="1" applyBorder="1" applyAlignment="1">
      <alignment horizontal="center" vertical="center" textRotation="90"/>
    </xf>
    <xf numFmtId="0" fontId="4" fillId="8" borderId="104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4" xfId="0" applyFont="1" applyFill="1" applyBorder="1" applyAlignment="1">
      <alignment horizontal="center" vertical="center"/>
    </xf>
    <xf numFmtId="0" fontId="14" fillId="0" borderId="71" xfId="0" applyFont="1" applyFill="1" applyBorder="1"/>
    <xf numFmtId="0" fontId="14" fillId="0" borderId="78" xfId="0" applyFont="1" applyFill="1" applyBorder="1"/>
    <xf numFmtId="2" fontId="14" fillId="0" borderId="90" xfId="0" applyNumberFormat="1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/>
    </xf>
    <xf numFmtId="0" fontId="14" fillId="7" borderId="41" xfId="0" applyFont="1" applyFill="1" applyBorder="1" applyAlignment="1">
      <alignment horizontal="center"/>
    </xf>
    <xf numFmtId="0" fontId="14" fillId="0" borderId="41" xfId="0" applyFont="1" applyBorder="1"/>
    <xf numFmtId="0" fontId="14" fillId="0" borderId="42" xfId="0" applyFont="1" applyBorder="1"/>
    <xf numFmtId="0" fontId="17" fillId="6" borderId="74" xfId="0" applyFont="1" applyFill="1" applyBorder="1" applyAlignment="1">
      <alignment horizontal="center" vertical="center" wrapText="1"/>
    </xf>
    <xf numFmtId="0" fontId="14" fillId="0" borderId="71" xfId="0" applyFont="1" applyBorder="1"/>
    <xf numFmtId="0" fontId="17" fillId="6" borderId="90" xfId="0" applyFont="1" applyFill="1" applyBorder="1" applyAlignment="1">
      <alignment horizontal="center" vertical="center" wrapText="1"/>
    </xf>
    <xf numFmtId="0" fontId="14" fillId="0" borderId="93" xfId="0" applyFont="1" applyBorder="1"/>
    <xf numFmtId="0" fontId="17" fillId="6" borderId="90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/>
    </xf>
    <xf numFmtId="0" fontId="14" fillId="0" borderId="38" xfId="0" applyFont="1" applyBorder="1"/>
    <xf numFmtId="0" fontId="14" fillId="0" borderId="76" xfId="0" applyFont="1" applyBorder="1"/>
    <xf numFmtId="0" fontId="14" fillId="0" borderId="0" xfId="0" applyFont="1" applyBorder="1"/>
    <xf numFmtId="0" fontId="17" fillId="6" borderId="91" xfId="0" applyFont="1" applyFill="1" applyBorder="1" applyAlignment="1">
      <alignment horizontal="center" vertical="center" wrapText="1"/>
    </xf>
    <xf numFmtId="0" fontId="14" fillId="0" borderId="94" xfId="0" applyFont="1" applyBorder="1"/>
    <xf numFmtId="0" fontId="17" fillId="6" borderId="37" xfId="0" applyFont="1" applyFill="1" applyBorder="1" applyAlignment="1">
      <alignment horizontal="center" vertical="center" textRotation="90" wrapText="1"/>
    </xf>
    <xf numFmtId="0" fontId="14" fillId="0" borderId="88" xfId="0" applyFont="1" applyBorder="1"/>
    <xf numFmtId="0" fontId="14" fillId="0" borderId="40" xfId="0" applyFont="1" applyBorder="1"/>
    <xf numFmtId="0" fontId="14" fillId="0" borderId="37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/>
    </xf>
    <xf numFmtId="0" fontId="14" fillId="7" borderId="88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89" xfId="0" applyFont="1" applyBorder="1"/>
    <xf numFmtId="0" fontId="14" fillId="7" borderId="40" xfId="0" applyFont="1" applyFill="1" applyBorder="1" applyAlignment="1">
      <alignment horizontal="center" vertical="center" wrapText="1"/>
    </xf>
    <xf numFmtId="0" fontId="2" fillId="0" borderId="81" xfId="0" applyFont="1" applyFill="1" applyBorder="1" applyAlignment="1">
      <alignment horizontal="center" vertical="center" wrapText="1"/>
    </xf>
    <xf numFmtId="0" fontId="14" fillId="0" borderId="84" xfId="0" applyFont="1" applyFill="1" applyBorder="1"/>
    <xf numFmtId="0" fontId="2" fillId="0" borderId="60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0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 vertical="top"/>
    </xf>
    <xf numFmtId="0" fontId="22" fillId="0" borderId="60" xfId="0" applyFont="1" applyFill="1" applyBorder="1" applyAlignment="1">
      <alignment horizontal="center" vertical="center" wrapText="1"/>
    </xf>
    <xf numFmtId="0" fontId="15" fillId="0" borderId="87" xfId="0" applyFont="1" applyFill="1" applyBorder="1"/>
    <xf numFmtId="0" fontId="2" fillId="0" borderId="79" xfId="0" applyFont="1" applyFill="1" applyBorder="1" applyAlignment="1">
      <alignment horizontal="center" vertical="center"/>
    </xf>
    <xf numFmtId="0" fontId="2" fillId="0" borderId="81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2" fillId="0" borderId="81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 vertical="top"/>
    </xf>
    <xf numFmtId="0" fontId="14" fillId="0" borderId="52" xfId="0" applyFont="1" applyFill="1" applyBorder="1"/>
    <xf numFmtId="0" fontId="22" fillId="0" borderId="63" xfId="0" applyFont="1" applyFill="1" applyBorder="1" applyAlignment="1">
      <alignment horizontal="center"/>
    </xf>
    <xf numFmtId="0" fontId="15" fillId="0" borderId="63" xfId="0" applyFont="1" applyFill="1" applyBorder="1"/>
    <xf numFmtId="0" fontId="23" fillId="0" borderId="64" xfId="0" applyFont="1" applyFill="1" applyBorder="1" applyAlignment="1">
      <alignment horizontal="center"/>
    </xf>
    <xf numFmtId="0" fontId="15" fillId="0" borderId="65" xfId="0" applyFont="1" applyFill="1" applyBorder="1"/>
    <xf numFmtId="0" fontId="15" fillId="0" borderId="66" xfId="0" applyFont="1" applyFill="1" applyBorder="1"/>
    <xf numFmtId="0" fontId="23" fillId="0" borderId="67" xfId="0" applyFont="1" applyFill="1" applyBorder="1" applyAlignment="1">
      <alignment horizontal="center"/>
    </xf>
    <xf numFmtId="0" fontId="15" fillId="0" borderId="68" xfId="0" applyFont="1" applyFill="1" applyBorder="1"/>
    <xf numFmtId="0" fontId="17" fillId="6" borderId="70" xfId="0" applyFont="1" applyFill="1" applyBorder="1" applyAlignment="1">
      <alignment horizontal="center" vertical="center" wrapText="1"/>
    </xf>
    <xf numFmtId="0" fontId="14" fillId="0" borderId="77" xfId="0" applyFont="1" applyBorder="1"/>
    <xf numFmtId="0" fontId="14" fillId="0" borderId="85" xfId="0" applyFont="1" applyBorder="1"/>
    <xf numFmtId="0" fontId="24" fillId="0" borderId="71" xfId="0" applyFont="1" applyFill="1" applyBorder="1" applyAlignment="1">
      <alignment horizontal="center" vertical="center" wrapText="1"/>
    </xf>
    <xf numFmtId="0" fontId="2" fillId="0" borderId="72" xfId="0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center" vertical="center" wrapText="1"/>
    </xf>
    <xf numFmtId="0" fontId="2" fillId="0" borderId="75" xfId="0" applyFont="1" applyFill="1" applyBorder="1" applyAlignment="1">
      <alignment horizontal="center" vertical="center"/>
    </xf>
    <xf numFmtId="0" fontId="22" fillId="0" borderId="76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38" xfId="0" applyFont="1" applyFill="1" applyBorder="1"/>
    <xf numFmtId="0" fontId="15" fillId="0" borderId="39" xfId="0" applyFont="1" applyFill="1" applyBorder="1"/>
    <xf numFmtId="0" fontId="15" fillId="0" borderId="80" xfId="0" applyFont="1" applyFill="1" applyBorder="1"/>
    <xf numFmtId="0" fontId="15" fillId="0" borderId="41" xfId="0" applyFont="1" applyFill="1" applyBorder="1"/>
    <xf numFmtId="0" fontId="15" fillId="0" borderId="42" xfId="0" applyFont="1" applyFill="1" applyBorder="1"/>
    <xf numFmtId="0" fontId="2" fillId="0" borderId="48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vertical="center"/>
    </xf>
    <xf numFmtId="0" fontId="22" fillId="0" borderId="50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vertical="center"/>
    </xf>
    <xf numFmtId="0" fontId="15" fillId="0" borderId="39" xfId="0" applyFont="1" applyFill="1" applyBorder="1" applyAlignment="1">
      <alignment vertical="center"/>
    </xf>
    <xf numFmtId="0" fontId="16" fillId="0" borderId="50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vertical="center"/>
    </xf>
    <xf numFmtId="0" fontId="17" fillId="6" borderId="37" xfId="0" applyFont="1" applyFill="1" applyBorder="1" applyAlignment="1">
      <alignment horizontal="center" vertical="center" wrapText="1"/>
    </xf>
    <xf numFmtId="0" fontId="2" fillId="0" borderId="51" xfId="0" applyFont="1" applyFill="1" applyBorder="1" applyAlignment="1">
      <alignment horizontal="center"/>
    </xf>
    <xf numFmtId="0" fontId="2" fillId="0" borderId="54" xfId="0" applyFont="1" applyFill="1" applyBorder="1" applyAlignment="1">
      <alignment horizontal="center" vertical="center"/>
    </xf>
    <xf numFmtId="0" fontId="14" fillId="0" borderId="54" xfId="0" applyFont="1" applyFill="1" applyBorder="1"/>
    <xf numFmtId="0" fontId="2" fillId="0" borderId="55" xfId="0" applyFont="1" applyFill="1" applyBorder="1" applyAlignment="1">
      <alignment horizontal="center" vertical="center" wrapText="1"/>
    </xf>
    <xf numFmtId="0" fontId="14" fillId="0" borderId="56" xfId="0" applyFont="1" applyFill="1" applyBorder="1"/>
    <xf numFmtId="0" fontId="14" fillId="0" borderId="57" xfId="0" applyFont="1" applyFill="1" applyBorder="1"/>
    <xf numFmtId="0" fontId="2" fillId="0" borderId="54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3" fillId="0" borderId="38" xfId="0" applyFont="1" applyBorder="1" applyAlignment="1">
      <alignment horizontal="center" wrapText="1"/>
    </xf>
    <xf numFmtId="14" fontId="22" fillId="0" borderId="44" xfId="0" applyNumberFormat="1" applyFont="1" applyFill="1" applyBorder="1" applyAlignment="1">
      <alignment horizontal="center" vertical="center"/>
    </xf>
    <xf numFmtId="0" fontId="15" fillId="0" borderId="45" xfId="0" applyFont="1" applyFill="1" applyBorder="1"/>
    <xf numFmtId="0" fontId="22" fillId="0" borderId="44" xfId="0" applyFont="1" applyBorder="1" applyAlignment="1">
      <alignment horizontal="center" vertical="center" wrapText="1"/>
    </xf>
    <xf numFmtId="0" fontId="15" fillId="0" borderId="45" xfId="0" applyFont="1" applyBorder="1"/>
    <xf numFmtId="0" fontId="15" fillId="0" borderId="47" xfId="0" applyFont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130" xfId="0" applyFont="1" applyBorder="1" applyAlignment="1">
      <alignment horizontal="center"/>
    </xf>
    <xf numFmtId="0" fontId="3" fillId="0" borderId="125" xfId="0" applyFont="1" applyBorder="1" applyAlignment="1">
      <alignment horizontal="center"/>
    </xf>
    <xf numFmtId="0" fontId="0" fillId="0" borderId="31" xfId="0" applyFont="1" applyBorder="1"/>
    <xf numFmtId="0" fontId="0" fillId="0" borderId="13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3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31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7" Type="http://schemas.openxmlformats.org/officeDocument/2006/relationships/image" Target="../media/image10.png"/><Relationship Id="rId2" Type="http://schemas.openxmlformats.org/officeDocument/2006/relationships/image" Target="../media/image15.jpeg"/><Relationship Id="rId1" Type="http://schemas.openxmlformats.org/officeDocument/2006/relationships/image" Target="../media/image14.jpeg"/><Relationship Id="rId6" Type="http://schemas.openxmlformats.org/officeDocument/2006/relationships/image" Target="../media/image9.pn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7" Type="http://schemas.openxmlformats.org/officeDocument/2006/relationships/image" Target="../media/image10.pn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6" Type="http://schemas.openxmlformats.org/officeDocument/2006/relationships/image" Target="../media/image9.pn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20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238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9</xdr:col>
      <xdr:colOff>0</xdr:colOff>
      <xdr:row>32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269441"/>
          <a:ext cx="5334000" cy="152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79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5364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95</xdr:row>
      <xdr:rowOff>63500</xdr:rowOff>
    </xdr:from>
    <xdr:to>
      <xdr:col>5</xdr:col>
      <xdr:colOff>408063</xdr:colOff>
      <xdr:row>101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692" y="1859915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95</xdr:row>
      <xdr:rowOff>63500</xdr:rowOff>
    </xdr:from>
    <xdr:to>
      <xdr:col>10</xdr:col>
      <xdr:colOff>445918</xdr:colOff>
      <xdr:row>101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01533" y="1859915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465667</xdr:colOff>
      <xdr:row>104</xdr:row>
      <xdr:rowOff>63499</xdr:rowOff>
    </xdr:from>
    <xdr:to>
      <xdr:col>5</xdr:col>
      <xdr:colOff>218584</xdr:colOff>
      <xdr:row>104</xdr:row>
      <xdr:rowOff>1973687</xdr:rowOff>
    </xdr:to>
    <xdr:pic>
      <xdr:nvPicPr>
        <xdr:cNvPr id="8" name="1 Imagen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5192" y="21123274"/>
          <a:ext cx="2534217" cy="1910188"/>
        </a:xfrm>
        <a:prstGeom prst="rect">
          <a:avLst/>
        </a:prstGeom>
      </xdr:spPr>
    </xdr:pic>
    <xdr:clientData/>
  </xdr:twoCellAnchor>
  <xdr:twoCellAnchor editAs="oneCell">
    <xdr:from>
      <xdr:col>11</xdr:col>
      <xdr:colOff>647417</xdr:colOff>
      <xdr:row>104</xdr:row>
      <xdr:rowOff>44166</xdr:rowOff>
    </xdr:from>
    <xdr:to>
      <xdr:col>15</xdr:col>
      <xdr:colOff>315667</xdr:colOff>
      <xdr:row>104</xdr:row>
      <xdr:rowOff>1954354</xdr:rowOff>
    </xdr:to>
    <xdr:pic>
      <xdr:nvPicPr>
        <xdr:cNvPr id="9" name="2 Imagen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24492" y="21103941"/>
          <a:ext cx="2525750" cy="1910188"/>
        </a:xfrm>
        <a:prstGeom prst="rect">
          <a:avLst/>
        </a:prstGeom>
      </xdr:spPr>
    </xdr:pic>
    <xdr:clientData/>
  </xdr:twoCellAnchor>
  <xdr:twoCellAnchor editAs="oneCell">
    <xdr:from>
      <xdr:col>6</xdr:col>
      <xdr:colOff>427000</xdr:colOff>
      <xdr:row>104</xdr:row>
      <xdr:rowOff>56584</xdr:rowOff>
    </xdr:from>
    <xdr:to>
      <xdr:col>10</xdr:col>
      <xdr:colOff>95250</xdr:colOff>
      <xdr:row>104</xdr:row>
      <xdr:rowOff>1966772</xdr:rowOff>
    </xdr:to>
    <xdr:pic>
      <xdr:nvPicPr>
        <xdr:cNvPr id="10" name="3 Imagen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2200" y="21116359"/>
          <a:ext cx="2525750" cy="1910188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73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4413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4413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949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949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902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902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973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973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942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942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969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969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73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4381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4381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73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4366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4366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73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4460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4460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104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96511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120</xdr:row>
      <xdr:rowOff>63500</xdr:rowOff>
    </xdr:from>
    <xdr:to>
      <xdr:col>5</xdr:col>
      <xdr:colOff>408063</xdr:colOff>
      <xdr:row>126</xdr:row>
      <xdr:rowOff>194357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7692" y="22885400"/>
          <a:ext cx="3041196" cy="175010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120</xdr:row>
      <xdr:rowOff>63500</xdr:rowOff>
    </xdr:from>
    <xdr:to>
      <xdr:col>10</xdr:col>
      <xdr:colOff>445918</xdr:colOff>
      <xdr:row>126</xdr:row>
      <xdr:rowOff>194357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01533" y="22885400"/>
          <a:ext cx="3007085" cy="175010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529167</xdr:colOff>
      <xdr:row>130</xdr:row>
      <xdr:rowOff>95249</xdr:rowOff>
    </xdr:from>
    <xdr:to>
      <xdr:col>4</xdr:col>
      <xdr:colOff>439833</xdr:colOff>
      <xdr:row>130</xdr:row>
      <xdr:rowOff>1895249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6867" y="25641299"/>
          <a:ext cx="1339416" cy="18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1833</xdr:colOff>
      <xdr:row>130</xdr:row>
      <xdr:rowOff>107666</xdr:rowOff>
    </xdr:from>
    <xdr:to>
      <xdr:col>14</xdr:col>
      <xdr:colOff>632167</xdr:colOff>
      <xdr:row>130</xdr:row>
      <xdr:rowOff>1907666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07658" y="25653716"/>
          <a:ext cx="1344709" cy="1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268250</xdr:colOff>
      <xdr:row>130</xdr:row>
      <xdr:rowOff>120083</xdr:rowOff>
    </xdr:from>
    <xdr:to>
      <xdr:col>9</xdr:col>
      <xdr:colOff>178917</xdr:colOff>
      <xdr:row>130</xdr:row>
      <xdr:rowOff>1920083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87825" y="25666133"/>
          <a:ext cx="1339417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98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8699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8699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9236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9236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9188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9188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9259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9259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9229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9229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9255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9255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8668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8668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8653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8653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8746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8746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174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31652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190</xdr:row>
      <xdr:rowOff>63500</xdr:rowOff>
    </xdr:from>
    <xdr:to>
      <xdr:col>5</xdr:col>
      <xdr:colOff>408063</xdr:colOff>
      <xdr:row>196</xdr:row>
      <xdr:rowOff>250297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34886900"/>
          <a:ext cx="3041196" cy="180604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190</xdr:row>
      <xdr:rowOff>63500</xdr:rowOff>
    </xdr:from>
    <xdr:to>
      <xdr:col>10</xdr:col>
      <xdr:colOff>287168</xdr:colOff>
      <xdr:row>196</xdr:row>
      <xdr:rowOff>250297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34886900"/>
          <a:ext cx="3010260" cy="180604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58473</xdr:colOff>
      <xdr:row>199</xdr:row>
      <xdr:rowOff>52915</xdr:rowOff>
    </xdr:from>
    <xdr:to>
      <xdr:col>4</xdr:col>
      <xdr:colOff>634998</xdr:colOff>
      <xdr:row>199</xdr:row>
      <xdr:rowOff>1979450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15" b="32611"/>
        <a:stretch/>
      </xdr:blipFill>
      <xdr:spPr>
        <a:xfrm>
          <a:off x="706173" y="37486165"/>
          <a:ext cx="2005275" cy="1926535"/>
        </a:xfrm>
        <a:prstGeom prst="rect">
          <a:avLst/>
        </a:prstGeom>
      </xdr:spPr>
    </xdr:pic>
    <xdr:clientData/>
  </xdr:twoCellAnchor>
  <xdr:twoCellAnchor editAs="oneCell">
    <xdr:from>
      <xdr:col>12</xdr:col>
      <xdr:colOff>758808</xdr:colOff>
      <xdr:row>199</xdr:row>
      <xdr:rowOff>72250</xdr:rowOff>
    </xdr:from>
    <xdr:to>
      <xdr:col>14</xdr:col>
      <xdr:colOff>318974</xdr:colOff>
      <xdr:row>199</xdr:row>
      <xdr:rowOff>1957918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2183" y="37505500"/>
          <a:ext cx="1055591" cy="1885668"/>
        </a:xfrm>
        <a:prstGeom prst="rect">
          <a:avLst/>
        </a:prstGeom>
      </xdr:spPr>
    </xdr:pic>
    <xdr:clientData/>
  </xdr:twoCellAnchor>
  <xdr:twoCellAnchor editAs="oneCell">
    <xdr:from>
      <xdr:col>6</xdr:col>
      <xdr:colOff>623058</xdr:colOff>
      <xdr:row>199</xdr:row>
      <xdr:rowOff>42333</xdr:rowOff>
    </xdr:from>
    <xdr:to>
      <xdr:col>10</xdr:col>
      <xdr:colOff>158750</xdr:colOff>
      <xdr:row>199</xdr:row>
      <xdr:rowOff>1957378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43" b="46602"/>
        <a:stretch/>
      </xdr:blipFill>
      <xdr:spPr>
        <a:xfrm>
          <a:off x="4128258" y="37475583"/>
          <a:ext cx="2555117" cy="1915045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30701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30701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31237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31237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31190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31190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31261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31261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31230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31230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31257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31257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30669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30669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30654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30654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30748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30748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434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1365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130</xdr:row>
      <xdr:rowOff>63500</xdr:rowOff>
    </xdr:from>
    <xdr:to>
      <xdr:col>5</xdr:col>
      <xdr:colOff>408063</xdr:colOff>
      <xdr:row>136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459990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130</xdr:row>
      <xdr:rowOff>63500</xdr:rowOff>
    </xdr:from>
    <xdr:to>
      <xdr:col>10</xdr:col>
      <xdr:colOff>287168</xdr:colOff>
      <xdr:row>136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4599900"/>
          <a:ext cx="3010260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95251</xdr:colOff>
      <xdr:row>139</xdr:row>
      <xdr:rowOff>38458</xdr:rowOff>
    </xdr:from>
    <xdr:to>
      <xdr:col>10</xdr:col>
      <xdr:colOff>209551</xdr:colOff>
      <xdr:row>139</xdr:row>
      <xdr:rowOff>1972488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910" b="42026"/>
        <a:stretch/>
      </xdr:blipFill>
      <xdr:spPr>
        <a:xfrm>
          <a:off x="4314826" y="27098983"/>
          <a:ext cx="2419350" cy="1934030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552451</xdr:colOff>
      <xdr:row>139</xdr:row>
      <xdr:rowOff>50796</xdr:rowOff>
    </xdr:from>
    <xdr:to>
      <xdr:col>5</xdr:col>
      <xdr:colOff>220879</xdr:colOff>
      <xdr:row>139</xdr:row>
      <xdr:rowOff>1943099</xdr:rowOff>
    </xdr:to>
    <xdr:pic>
      <xdr:nvPicPr>
        <xdr:cNvPr id="9" name="Imagen 8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177" b="32278"/>
        <a:stretch/>
      </xdr:blipFill>
      <xdr:spPr>
        <a:xfrm>
          <a:off x="561976" y="27111321"/>
          <a:ext cx="2449728" cy="1892303"/>
        </a:xfrm>
        <a:prstGeom prst="rect">
          <a:avLst/>
        </a:prstGeom>
      </xdr:spPr>
    </xdr:pic>
    <xdr:clientData/>
  </xdr:twoCellAnchor>
  <xdr:twoCellAnchor editAs="oneCell">
    <xdr:from>
      <xdr:col>12</xdr:col>
      <xdr:colOff>566323</xdr:colOff>
      <xdr:row>139</xdr:row>
      <xdr:rowOff>57150</xdr:rowOff>
    </xdr:from>
    <xdr:to>
      <xdr:col>14</xdr:col>
      <xdr:colOff>131349</xdr:colOff>
      <xdr:row>139</xdr:row>
      <xdr:rowOff>1938298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9698" y="27117675"/>
          <a:ext cx="1060451" cy="1881148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topLeftCell="A10" zoomScale="85" zoomScaleNormal="85" workbookViewId="0">
      <selection activeCell="A33" sqref="A33:XFD34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99" t="s">
        <v>38</v>
      </c>
      <c r="C2" s="99"/>
      <c r="D2" s="99"/>
      <c r="E2" s="99"/>
      <c r="F2" s="99"/>
      <c r="G2" s="99"/>
      <c r="H2" s="99"/>
      <c r="I2" s="99"/>
      <c r="J2" s="99"/>
    </row>
    <row r="3" spans="2:10" ht="6.75" customHeight="1" x14ac:dyDescent="0.25">
      <c r="B3" s="101"/>
      <c r="C3" s="102"/>
      <c r="D3" s="102"/>
      <c r="E3" s="102"/>
      <c r="F3" s="102"/>
      <c r="G3" s="102"/>
      <c r="H3" s="102"/>
      <c r="I3" s="102"/>
      <c r="J3" s="103"/>
    </row>
    <row r="4" spans="2:10" x14ac:dyDescent="0.25">
      <c r="B4" s="104"/>
      <c r="C4" s="100"/>
      <c r="D4" s="100"/>
      <c r="E4" s="100"/>
      <c r="F4" s="100"/>
      <c r="G4" s="100"/>
      <c r="H4" s="100"/>
      <c r="I4" s="100"/>
      <c r="J4" s="106"/>
    </row>
    <row r="5" spans="2:10" x14ac:dyDescent="0.25">
      <c r="B5" s="104"/>
      <c r="C5" s="100"/>
      <c r="D5" s="100"/>
      <c r="E5" s="100"/>
      <c r="F5" s="100"/>
      <c r="G5" s="100"/>
      <c r="H5" s="100"/>
      <c r="I5" s="100"/>
      <c r="J5" s="106"/>
    </row>
    <row r="6" spans="2:10" x14ac:dyDescent="0.25">
      <c r="B6" s="104"/>
      <c r="C6" s="100"/>
      <c r="D6" s="100"/>
      <c r="E6" s="100"/>
      <c r="F6" s="100"/>
      <c r="G6" s="100"/>
      <c r="H6" s="100"/>
      <c r="I6" s="100"/>
      <c r="J6" s="106"/>
    </row>
    <row r="7" spans="2:10" x14ac:dyDescent="0.25">
      <c r="B7" s="104"/>
      <c r="C7" s="100"/>
      <c r="D7" s="100"/>
      <c r="E7" s="100"/>
      <c r="F7" s="100"/>
      <c r="G7" s="100"/>
      <c r="H7" s="100"/>
      <c r="I7" s="100"/>
      <c r="J7" s="106"/>
    </row>
    <row r="8" spans="2:10" x14ac:dyDescent="0.25">
      <c r="B8" s="104"/>
      <c r="C8" s="100"/>
      <c r="D8" s="100"/>
      <c r="E8" s="100"/>
      <c r="F8" s="100"/>
      <c r="G8" s="100"/>
      <c r="H8" s="100"/>
      <c r="I8" s="100"/>
      <c r="J8" s="106"/>
    </row>
    <row r="9" spans="2:10" x14ac:dyDescent="0.25">
      <c r="B9" s="104"/>
      <c r="C9" s="100"/>
      <c r="D9" s="100"/>
      <c r="E9" s="100"/>
      <c r="F9" s="100"/>
      <c r="G9" s="100"/>
      <c r="H9" s="100"/>
      <c r="I9" s="100"/>
      <c r="J9" s="106"/>
    </row>
    <row r="10" spans="2:10" x14ac:dyDescent="0.25">
      <c r="B10" s="104"/>
      <c r="C10" s="100"/>
      <c r="D10" s="100"/>
      <c r="E10" s="100"/>
      <c r="F10" s="100"/>
      <c r="G10" s="100"/>
      <c r="H10" s="100"/>
      <c r="I10" s="100"/>
      <c r="J10" s="106"/>
    </row>
    <row r="11" spans="2:10" x14ac:dyDescent="0.25">
      <c r="B11" s="104"/>
      <c r="C11" s="100"/>
      <c r="D11" s="100"/>
      <c r="E11" s="100"/>
      <c r="F11" s="100"/>
      <c r="G11" s="100"/>
      <c r="H11" s="100"/>
      <c r="I11" s="100"/>
      <c r="J11" s="106"/>
    </row>
    <row r="12" spans="2:10" x14ac:dyDescent="0.25">
      <c r="B12" s="104"/>
      <c r="C12" s="100"/>
      <c r="D12" s="100"/>
      <c r="E12" s="100"/>
      <c r="F12" s="100"/>
      <c r="G12" s="100"/>
      <c r="H12" s="100"/>
      <c r="I12" s="100"/>
      <c r="J12" s="106"/>
    </row>
    <row r="13" spans="2:10" x14ac:dyDescent="0.25">
      <c r="B13" s="104"/>
      <c r="C13" s="100"/>
      <c r="D13" s="100"/>
      <c r="E13" s="100"/>
      <c r="F13" s="100"/>
      <c r="G13" s="100"/>
      <c r="H13" s="100"/>
      <c r="I13" s="100"/>
      <c r="J13" s="106"/>
    </row>
    <row r="14" spans="2:10" x14ac:dyDescent="0.25">
      <c r="B14" s="104"/>
      <c r="C14" s="100"/>
      <c r="D14" s="100"/>
      <c r="E14" s="100"/>
      <c r="F14" s="100"/>
      <c r="G14" s="100"/>
      <c r="H14" s="100"/>
      <c r="I14" s="100"/>
      <c r="J14" s="106"/>
    </row>
    <row r="15" spans="2:10" x14ac:dyDescent="0.25">
      <c r="B15" s="104"/>
      <c r="C15" s="100"/>
      <c r="D15" s="100"/>
      <c r="E15" s="100"/>
      <c r="F15" s="100"/>
      <c r="G15" s="100"/>
      <c r="H15" s="100"/>
      <c r="I15" s="100"/>
      <c r="J15" s="106"/>
    </row>
    <row r="16" spans="2:10" x14ac:dyDescent="0.25">
      <c r="B16" s="104"/>
      <c r="C16" s="100"/>
      <c r="D16" s="100"/>
      <c r="E16" s="100"/>
      <c r="F16" s="100"/>
      <c r="G16" s="100"/>
      <c r="H16" s="100"/>
      <c r="I16" s="100"/>
      <c r="J16" s="106"/>
    </row>
    <row r="17" spans="2:10" x14ac:dyDescent="0.25">
      <c r="B17" s="104"/>
      <c r="C17" s="100"/>
      <c r="D17" s="100"/>
      <c r="E17" s="100"/>
      <c r="F17" s="100"/>
      <c r="G17" s="100"/>
      <c r="H17" s="100"/>
      <c r="I17" s="100"/>
      <c r="J17" s="106"/>
    </row>
    <row r="18" spans="2:10" x14ac:dyDescent="0.25">
      <c r="B18" s="104"/>
      <c r="C18" s="100"/>
      <c r="D18" s="100"/>
      <c r="E18" s="100"/>
      <c r="F18" s="100"/>
      <c r="G18" s="100"/>
      <c r="H18" s="100"/>
      <c r="I18" s="100"/>
      <c r="J18" s="106"/>
    </row>
    <row r="19" spans="2:10" x14ac:dyDescent="0.25">
      <c r="B19" s="104"/>
      <c r="C19" s="100"/>
      <c r="D19" s="100"/>
      <c r="E19" s="100"/>
      <c r="F19" s="100"/>
      <c r="G19" s="100"/>
      <c r="H19" s="100"/>
      <c r="I19" s="100"/>
      <c r="J19" s="106"/>
    </row>
    <row r="20" spans="2:10" x14ac:dyDescent="0.25">
      <c r="B20" s="104"/>
      <c r="C20" s="100"/>
      <c r="D20" s="100"/>
      <c r="E20" s="100"/>
      <c r="F20" s="100"/>
      <c r="G20" s="100"/>
      <c r="H20" s="100"/>
      <c r="I20" s="100"/>
      <c r="J20" s="106"/>
    </row>
    <row r="21" spans="2:10" ht="6.75" customHeight="1" x14ac:dyDescent="0.25">
      <c r="B21" s="105"/>
      <c r="C21" s="108"/>
      <c r="D21" s="108"/>
      <c r="E21" s="108"/>
      <c r="F21" s="108"/>
      <c r="G21" s="108"/>
      <c r="H21" s="108"/>
      <c r="I21" s="108"/>
      <c r="J21" s="107"/>
    </row>
    <row r="22" spans="2:10" x14ac:dyDescent="0.25">
      <c r="B22" s="1"/>
      <c r="C22" s="1"/>
      <c r="D22" s="1"/>
      <c r="E22" s="1"/>
      <c r="F22" s="1"/>
      <c r="G22" s="1"/>
      <c r="H22" s="1"/>
      <c r="I22" s="1"/>
    </row>
    <row r="23" spans="2:10" x14ac:dyDescent="0.25">
      <c r="B23" s="99" t="s">
        <v>39</v>
      </c>
      <c r="C23" s="99"/>
      <c r="D23" s="99"/>
      <c r="E23" s="99"/>
      <c r="F23" s="99"/>
      <c r="G23" s="99"/>
      <c r="H23" s="99"/>
      <c r="I23" s="99"/>
      <c r="J23" s="99"/>
    </row>
    <row r="24" spans="2:10" ht="6.75" customHeight="1" x14ac:dyDescent="0.25">
      <c r="B24" s="101"/>
      <c r="C24" s="102"/>
      <c r="D24" s="102"/>
      <c r="E24" s="102"/>
      <c r="F24" s="102"/>
      <c r="G24" s="102"/>
      <c r="H24" s="102"/>
      <c r="I24" s="102"/>
      <c r="J24" s="103"/>
    </row>
    <row r="25" spans="2:10" x14ac:dyDescent="0.25">
      <c r="B25" s="104"/>
      <c r="C25" s="100"/>
      <c r="D25" s="100"/>
      <c r="E25" s="100"/>
      <c r="F25" s="100"/>
      <c r="G25" s="100"/>
      <c r="H25" s="100"/>
      <c r="I25" s="100"/>
      <c r="J25" s="106"/>
    </row>
    <row r="26" spans="2:10" x14ac:dyDescent="0.25">
      <c r="B26" s="104"/>
      <c r="C26" s="100"/>
      <c r="D26" s="100"/>
      <c r="E26" s="100"/>
      <c r="F26" s="100"/>
      <c r="G26" s="100"/>
      <c r="H26" s="100"/>
      <c r="I26" s="100"/>
      <c r="J26" s="106"/>
    </row>
    <row r="27" spans="2:10" x14ac:dyDescent="0.25">
      <c r="B27" s="104"/>
      <c r="C27" s="100"/>
      <c r="D27" s="100"/>
      <c r="E27" s="100"/>
      <c r="F27" s="100"/>
      <c r="G27" s="100"/>
      <c r="H27" s="100"/>
      <c r="I27" s="100"/>
      <c r="J27" s="106"/>
    </row>
    <row r="28" spans="2:10" x14ac:dyDescent="0.25">
      <c r="B28" s="104"/>
      <c r="C28" s="100"/>
      <c r="D28" s="100"/>
      <c r="E28" s="100"/>
      <c r="F28" s="100"/>
      <c r="G28" s="100"/>
      <c r="H28" s="100"/>
      <c r="I28" s="100"/>
      <c r="J28" s="106"/>
    </row>
    <row r="29" spans="2:10" x14ac:dyDescent="0.25">
      <c r="B29" s="104"/>
      <c r="C29" s="100"/>
      <c r="D29" s="100"/>
      <c r="E29" s="100"/>
      <c r="F29" s="100"/>
      <c r="G29" s="100"/>
      <c r="H29" s="100"/>
      <c r="I29" s="100"/>
      <c r="J29" s="106"/>
    </row>
    <row r="30" spans="2:10" x14ac:dyDescent="0.25">
      <c r="B30" s="104"/>
      <c r="C30" s="100"/>
      <c r="D30" s="100"/>
      <c r="E30" s="100"/>
      <c r="F30" s="100"/>
      <c r="G30" s="100"/>
      <c r="H30" s="100"/>
      <c r="I30" s="100"/>
      <c r="J30" s="106"/>
    </row>
    <row r="31" spans="2:10" x14ac:dyDescent="0.25">
      <c r="B31" s="104"/>
      <c r="C31" s="100"/>
      <c r="D31" s="100"/>
      <c r="E31" s="100"/>
      <c r="F31" s="100"/>
      <c r="G31" s="100"/>
      <c r="H31" s="100"/>
      <c r="I31" s="100"/>
      <c r="J31" s="106"/>
    </row>
    <row r="32" spans="2:10" x14ac:dyDescent="0.25">
      <c r="B32" s="104"/>
      <c r="C32" s="100"/>
      <c r="D32" s="100"/>
      <c r="E32" s="100"/>
      <c r="F32" s="100"/>
      <c r="G32" s="100"/>
      <c r="H32" s="100"/>
      <c r="I32" s="100"/>
      <c r="J32" s="106"/>
    </row>
    <row r="33" spans="2:10" ht="6.75" customHeight="1" x14ac:dyDescent="0.25">
      <c r="B33" s="105"/>
      <c r="C33" s="108"/>
      <c r="D33" s="108"/>
      <c r="E33" s="108"/>
      <c r="F33" s="108"/>
      <c r="G33" s="108"/>
      <c r="H33" s="108"/>
      <c r="I33" s="108"/>
      <c r="J33" s="107"/>
    </row>
  </sheetData>
  <mergeCells count="12">
    <mergeCell ref="B23:J23"/>
    <mergeCell ref="B24:J24"/>
    <mergeCell ref="B25:B33"/>
    <mergeCell ref="C25:I32"/>
    <mergeCell ref="J25:J33"/>
    <mergeCell ref="C33:I33"/>
    <mergeCell ref="B2:J2"/>
    <mergeCell ref="C4:I20"/>
    <mergeCell ref="B3:J3"/>
    <mergeCell ref="B4:B21"/>
    <mergeCell ref="J4:J21"/>
    <mergeCell ref="C21:I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8"/>
  <sheetViews>
    <sheetView tabSelected="1" view="pageBreakPreview" zoomScaleSheetLayoutView="100" zoomScalePageLayoutView="110" workbookViewId="0">
      <selection activeCell="F9" sqref="F9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4"/>
      <c r="B2" s="315"/>
      <c r="C2" s="316"/>
      <c r="D2" s="317"/>
      <c r="E2" s="318" t="s">
        <v>118</v>
      </c>
      <c r="F2" s="319"/>
      <c r="G2" s="319"/>
      <c r="H2" s="319"/>
      <c r="I2" s="319"/>
      <c r="J2" s="319"/>
      <c r="K2" s="319"/>
      <c r="L2" s="319"/>
      <c r="M2" s="319"/>
      <c r="N2" s="319"/>
      <c r="O2" s="320"/>
      <c r="P2" s="321"/>
    </row>
    <row r="3" spans="1:26" s="2" customFormat="1" ht="25.5" customHeight="1" thickBot="1" x14ac:dyDescent="0.3">
      <c r="A3" s="314"/>
      <c r="B3" s="322"/>
      <c r="C3" s="323"/>
      <c r="D3" s="324"/>
      <c r="E3" s="325"/>
      <c r="F3" s="326"/>
      <c r="G3" s="326"/>
      <c r="H3" s="326"/>
      <c r="I3" s="326"/>
      <c r="J3" s="326"/>
      <c r="K3" s="326"/>
      <c r="L3" s="326"/>
      <c r="M3" s="326"/>
      <c r="N3" s="326"/>
      <c r="O3" s="327"/>
      <c r="P3" s="328"/>
    </row>
    <row r="4" spans="1:26" s="91" customFormat="1" ht="11.25" customHeight="1" thickBot="1" x14ac:dyDescent="0.3">
      <c r="A4" s="15"/>
      <c r="B4" s="304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05">
        <v>43104</v>
      </c>
      <c r="D5" s="306"/>
      <c r="E5" s="70" t="s">
        <v>50</v>
      </c>
      <c r="F5" s="71">
        <v>1</v>
      </c>
      <c r="G5" s="72" t="s">
        <v>1</v>
      </c>
      <c r="H5" s="307" t="s">
        <v>119</v>
      </c>
      <c r="I5" s="308"/>
      <c r="J5" s="308"/>
      <c r="K5" s="308"/>
      <c r="L5" s="308"/>
      <c r="M5" s="308"/>
      <c r="N5" s="308"/>
      <c r="O5" s="308"/>
      <c r="P5" s="30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88" t="s">
        <v>2</v>
      </c>
      <c r="C6" s="289"/>
      <c r="D6" s="290" t="s">
        <v>106</v>
      </c>
      <c r="E6" s="291"/>
      <c r="F6" s="291"/>
      <c r="G6" s="291"/>
      <c r="H6" s="291"/>
      <c r="I6" s="292"/>
      <c r="J6" s="74" t="s">
        <v>3</v>
      </c>
      <c r="K6" s="293" t="s">
        <v>107</v>
      </c>
      <c r="L6" s="292"/>
      <c r="M6" s="293" t="s">
        <v>108</v>
      </c>
      <c r="N6" s="294"/>
      <c r="O6" s="75" t="s">
        <v>51</v>
      </c>
      <c r="P6" s="76">
        <v>731</v>
      </c>
    </row>
    <row r="7" spans="1:26" s="18" customFormat="1" ht="21.75" customHeight="1" x14ac:dyDescent="0.25">
      <c r="B7" s="295" t="s">
        <v>52</v>
      </c>
      <c r="C7" s="296" t="s">
        <v>53</v>
      </c>
      <c r="D7" s="266"/>
      <c r="E7" s="78"/>
      <c r="F7" s="297" t="s">
        <v>54</v>
      </c>
      <c r="G7" s="298"/>
      <c r="H7" s="298"/>
      <c r="I7" s="298"/>
      <c r="J7" s="299" t="s">
        <v>55</v>
      </c>
      <c r="K7" s="300"/>
      <c r="L7" s="300"/>
      <c r="M7" s="301"/>
      <c r="N7" s="302" t="s">
        <v>101</v>
      </c>
      <c r="O7" s="303"/>
      <c r="P7" s="79" t="s">
        <v>56</v>
      </c>
    </row>
    <row r="8" spans="1:26" s="18" customFormat="1" ht="21.75" customHeight="1" thickBot="1" x14ac:dyDescent="0.3">
      <c r="B8" s="240"/>
      <c r="C8" s="257" t="s">
        <v>57</v>
      </c>
      <c r="D8" s="256"/>
      <c r="E8" s="80" t="s">
        <v>4</v>
      </c>
      <c r="F8" s="267" t="s">
        <v>5</v>
      </c>
      <c r="G8" s="268"/>
      <c r="H8" s="268"/>
      <c r="I8" s="268"/>
      <c r="J8" s="269"/>
      <c r="K8" s="270"/>
      <c r="L8" s="270"/>
      <c r="M8" s="271"/>
      <c r="N8" s="272"/>
      <c r="O8" s="273"/>
      <c r="P8" s="81"/>
    </row>
    <row r="9" spans="1:26" s="18" customFormat="1" ht="21.75" customHeight="1" x14ac:dyDescent="0.25">
      <c r="B9" s="274" t="s">
        <v>6</v>
      </c>
      <c r="C9" s="277" t="s">
        <v>58</v>
      </c>
      <c r="D9" s="278" t="s">
        <v>59</v>
      </c>
      <c r="E9" s="263"/>
      <c r="F9" s="82"/>
      <c r="G9" s="279" t="s">
        <v>7</v>
      </c>
      <c r="H9" s="280" t="s">
        <v>8</v>
      </c>
      <c r="I9" s="266"/>
      <c r="J9" s="83"/>
      <c r="K9" s="277" t="s">
        <v>60</v>
      </c>
      <c r="L9" s="281" t="s">
        <v>109</v>
      </c>
      <c r="M9" s="282"/>
      <c r="N9" s="283"/>
      <c r="O9" s="283"/>
      <c r="P9" s="284"/>
    </row>
    <row r="10" spans="1:26" s="18" customFormat="1" ht="21.75" customHeight="1" thickBot="1" x14ac:dyDescent="0.3">
      <c r="B10" s="275"/>
      <c r="C10" s="220"/>
      <c r="D10" s="261" t="s">
        <v>61</v>
      </c>
      <c r="E10" s="256"/>
      <c r="F10" s="84" t="s">
        <v>4</v>
      </c>
      <c r="G10" s="220"/>
      <c r="H10" s="261" t="s">
        <v>9</v>
      </c>
      <c r="I10" s="256"/>
      <c r="J10" s="85" t="s">
        <v>4</v>
      </c>
      <c r="K10" s="220"/>
      <c r="L10" s="285"/>
      <c r="M10" s="286"/>
      <c r="N10" s="286"/>
      <c r="O10" s="286"/>
      <c r="P10" s="287"/>
    </row>
    <row r="11" spans="1:26" s="18" customFormat="1" ht="21.75" customHeight="1" x14ac:dyDescent="0.25">
      <c r="A11" s="16"/>
      <c r="B11" s="275"/>
      <c r="C11" s="262" t="s">
        <v>10</v>
      </c>
      <c r="D11" s="263"/>
      <c r="E11" s="86">
        <v>0.59652777777777777</v>
      </c>
      <c r="F11" s="264" t="s">
        <v>11</v>
      </c>
      <c r="G11" s="263"/>
      <c r="H11" s="87">
        <v>0.76</v>
      </c>
      <c r="I11" s="265" t="s">
        <v>12</v>
      </c>
      <c r="J11" s="266"/>
      <c r="K11" s="87">
        <v>23</v>
      </c>
      <c r="L11" s="262" t="s">
        <v>13</v>
      </c>
      <c r="M11" s="263"/>
      <c r="N11" s="88">
        <v>33.6</v>
      </c>
      <c r="O11" s="253" t="s">
        <v>62</v>
      </c>
      <c r="P11" s="254"/>
    </row>
    <row r="12" spans="1:26" s="18" customFormat="1" ht="21.75" customHeight="1" thickBot="1" x14ac:dyDescent="0.3">
      <c r="A12" s="16"/>
      <c r="B12" s="276"/>
      <c r="C12" s="255" t="s">
        <v>14</v>
      </c>
      <c r="D12" s="256"/>
      <c r="E12" s="86">
        <v>0.71875</v>
      </c>
      <c r="F12" s="257" t="s">
        <v>15</v>
      </c>
      <c r="G12" s="256"/>
      <c r="H12" s="87">
        <v>0.7</v>
      </c>
      <c r="I12" s="258" t="s">
        <v>16</v>
      </c>
      <c r="J12" s="256"/>
      <c r="K12" s="86">
        <v>0.51388888888888895</v>
      </c>
      <c r="L12" s="255" t="s">
        <v>17</v>
      </c>
      <c r="M12" s="256"/>
      <c r="N12" s="89">
        <v>3</v>
      </c>
      <c r="O12" s="259">
        <v>2.9</v>
      </c>
      <c r="P12" s="260"/>
    </row>
    <row r="13" spans="1:26" s="18" customFormat="1" ht="21.75" customHeight="1" x14ac:dyDescent="0.25">
      <c r="A13" s="16"/>
      <c r="B13" s="238" t="s">
        <v>18</v>
      </c>
      <c r="C13" s="241" t="s">
        <v>63</v>
      </c>
      <c r="D13" s="242"/>
      <c r="E13" s="242"/>
      <c r="F13" s="243" t="s">
        <v>64</v>
      </c>
      <c r="G13" s="242"/>
      <c r="H13" s="242"/>
      <c r="I13" s="242"/>
      <c r="J13" s="243" t="s">
        <v>65</v>
      </c>
      <c r="K13" s="242"/>
      <c r="L13" s="242"/>
      <c r="M13" s="242"/>
      <c r="N13" s="244" t="s">
        <v>66</v>
      </c>
      <c r="O13" s="242"/>
      <c r="P13" s="24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9"/>
      <c r="C14" s="246" t="s">
        <v>67</v>
      </c>
      <c r="D14" s="247"/>
      <c r="E14" s="247"/>
      <c r="F14" s="248" t="s">
        <v>68</v>
      </c>
      <c r="G14" s="247"/>
      <c r="H14" s="247"/>
      <c r="I14" s="247"/>
      <c r="J14" s="249" t="s">
        <v>69</v>
      </c>
      <c r="K14" s="247"/>
      <c r="L14" s="247"/>
      <c r="M14" s="247"/>
      <c r="N14" s="250"/>
      <c r="O14" s="235"/>
      <c r="P14" s="25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40"/>
      <c r="C15" s="252" t="s">
        <v>70</v>
      </c>
      <c r="D15" s="222"/>
      <c r="E15" s="222"/>
      <c r="F15" s="222" t="s">
        <v>71</v>
      </c>
      <c r="G15" s="223"/>
      <c r="H15" s="223"/>
      <c r="I15" s="223"/>
      <c r="J15" s="222" t="s">
        <v>72</v>
      </c>
      <c r="K15" s="223"/>
      <c r="L15" s="223"/>
      <c r="M15" s="223"/>
      <c r="N15" s="224"/>
      <c r="O15" s="225"/>
      <c r="P15" s="22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27" t="s">
        <v>19</v>
      </c>
      <c r="C16" s="229" t="s">
        <v>20</v>
      </c>
      <c r="D16" s="229" t="s">
        <v>40</v>
      </c>
      <c r="E16" s="231" t="s">
        <v>21</v>
      </c>
      <c r="F16" s="232" t="s">
        <v>41</v>
      </c>
      <c r="G16" s="233"/>
      <c r="H16" s="229" t="s">
        <v>73</v>
      </c>
      <c r="I16" s="23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28"/>
      <c r="C17" s="230"/>
      <c r="D17" s="230"/>
      <c r="E17" s="230"/>
      <c r="F17" s="234"/>
      <c r="G17" s="235"/>
      <c r="H17" s="230"/>
      <c r="I17" s="23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2.9</v>
      </c>
      <c r="D18" s="29"/>
      <c r="E18" s="30">
        <v>0.47</v>
      </c>
      <c r="F18" s="31"/>
      <c r="G18" s="97"/>
      <c r="H18" s="32"/>
      <c r="I18" s="33"/>
      <c r="J18" s="96">
        <v>0.10100000000000001</v>
      </c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18">
        <v>1</v>
      </c>
      <c r="C19" s="221">
        <f>+C18+$N$12+0.5</f>
        <v>6.4</v>
      </c>
      <c r="D19" s="198">
        <v>0.68</v>
      </c>
      <c r="E19" s="198">
        <v>0.85</v>
      </c>
      <c r="F19" s="36" t="s">
        <v>75</v>
      </c>
      <c r="G19" s="37">
        <v>0</v>
      </c>
      <c r="H19" s="38"/>
      <c r="I19" s="39"/>
      <c r="J19" s="40">
        <v>0.44800000000000001</v>
      </c>
      <c r="K19" s="198">
        <f>+IF(E19&lt;=0.12,(J21),(IF(E19&lt;0.16,((J20+2*J21+J22)/4),IF(E19&gt;=0.16,((J19+3*J20+2*J21+3*J22+J23)/10)))))</f>
        <v>0.45009999999999994</v>
      </c>
      <c r="L19" s="198">
        <f>ROUND(+(D18+D19)/2*(C19-C18),3)</f>
        <v>1.19</v>
      </c>
      <c r="M19" s="198">
        <f>ROUND(+K19*L19,4)</f>
        <v>0.53559999999999997</v>
      </c>
      <c r="N19" s="201">
        <f>ROUND(+M19/$M$93*100,2)</f>
        <v>2.97</v>
      </c>
      <c r="O19" s="202"/>
      <c r="P19" s="20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9"/>
      <c r="C20" s="199"/>
      <c r="D20" s="199"/>
      <c r="E20" s="199"/>
      <c r="F20" s="41" t="s">
        <v>76</v>
      </c>
      <c r="G20" s="42">
        <f>IF(E19&lt;0.125,"NA",IF(0.125&lt;=E19,(0.2*E19)))</f>
        <v>0.17</v>
      </c>
      <c r="H20" s="43"/>
      <c r="I20" s="44"/>
      <c r="J20" s="45">
        <v>0.40699999999999997</v>
      </c>
      <c r="K20" s="199"/>
      <c r="L20" s="199"/>
      <c r="M20" s="199"/>
      <c r="N20" s="199"/>
      <c r="O20" s="199"/>
      <c r="P20" s="20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9"/>
      <c r="C21" s="199"/>
      <c r="D21" s="199"/>
      <c r="E21" s="199"/>
      <c r="F21" s="41" t="s">
        <v>77</v>
      </c>
      <c r="G21" s="42">
        <f>+E19*0.4</f>
        <v>0.34</v>
      </c>
      <c r="H21" s="43"/>
      <c r="I21" s="44"/>
      <c r="J21" s="45">
        <v>0.46700000000000003</v>
      </c>
      <c r="K21" s="199"/>
      <c r="L21" s="199"/>
      <c r="M21" s="199"/>
      <c r="N21" s="199"/>
      <c r="O21" s="199"/>
      <c r="P21" s="20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9"/>
      <c r="C22" s="199"/>
      <c r="D22" s="199"/>
      <c r="E22" s="199"/>
      <c r="F22" s="41" t="s">
        <v>78</v>
      </c>
      <c r="G22" s="42">
        <f>IF(E19&lt;0.125,"NA",IF(0.125&lt;=E19,(0.8*E19)))</f>
        <v>0.68</v>
      </c>
      <c r="H22" s="43"/>
      <c r="I22" s="44"/>
      <c r="J22" s="45">
        <v>0.46500000000000002</v>
      </c>
      <c r="K22" s="199"/>
      <c r="L22" s="199"/>
      <c r="M22" s="199"/>
      <c r="N22" s="199"/>
      <c r="O22" s="199"/>
      <c r="P22" s="20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20"/>
      <c r="C23" s="200"/>
      <c r="D23" s="200"/>
      <c r="E23" s="200"/>
      <c r="F23" s="46" t="s">
        <v>79</v>
      </c>
      <c r="G23" s="47">
        <f>+E19</f>
        <v>0.85</v>
      </c>
      <c r="H23" s="48"/>
      <c r="I23" s="49"/>
      <c r="J23" s="50">
        <v>0.503</v>
      </c>
      <c r="K23" s="200"/>
      <c r="L23" s="200"/>
      <c r="M23" s="200"/>
      <c r="N23" s="200"/>
      <c r="O23" s="200"/>
      <c r="P23" s="20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18">
        <v>2</v>
      </c>
      <c r="C24" s="221">
        <f>+C19+$N$12</f>
        <v>9.4</v>
      </c>
      <c r="D24" s="198">
        <v>0.67</v>
      </c>
      <c r="E24" s="198">
        <v>0.68</v>
      </c>
      <c r="F24" s="36" t="s">
        <v>75</v>
      </c>
      <c r="G24" s="37">
        <v>0</v>
      </c>
      <c r="H24" s="38"/>
      <c r="I24" s="39"/>
      <c r="J24" s="40">
        <v>0.49199999999999999</v>
      </c>
      <c r="K24" s="198">
        <f>+IF(E24&lt;=0.12,(J26),(IF(E24&lt;0.16,((J25+2*J26+J27)/4),IF(E24&gt;=0.16,((J24+3*J25+2*J26+3*J27+J28)/10)))))</f>
        <v>0.68410000000000015</v>
      </c>
      <c r="L24" s="198">
        <f>ROUND(+(D19+D24)/2*(C24-C19),3)</f>
        <v>2.0249999999999999</v>
      </c>
      <c r="M24" s="198">
        <f>ROUND(+K24*L24,4)</f>
        <v>1.3853</v>
      </c>
      <c r="N24" s="201">
        <f>ROUND(+M24/$M$93*100,2)</f>
        <v>7.68</v>
      </c>
      <c r="O24" s="202"/>
      <c r="P24" s="20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9"/>
      <c r="C25" s="199"/>
      <c r="D25" s="199"/>
      <c r="E25" s="199"/>
      <c r="F25" s="41" t="s">
        <v>76</v>
      </c>
      <c r="G25" s="42">
        <f>IF(E24&lt;0.125,"NA",IF(0.125&lt;=E24,(0.2*E24)))</f>
        <v>0.13600000000000001</v>
      </c>
      <c r="H25" s="43"/>
      <c r="I25" s="44"/>
      <c r="J25" s="45">
        <v>0.60099999999999998</v>
      </c>
      <c r="K25" s="199"/>
      <c r="L25" s="199"/>
      <c r="M25" s="199"/>
      <c r="N25" s="199"/>
      <c r="O25" s="199"/>
      <c r="P25" s="20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9"/>
      <c r="C26" s="199"/>
      <c r="D26" s="199"/>
      <c r="E26" s="199"/>
      <c r="F26" s="41" t="s">
        <v>77</v>
      </c>
      <c r="G26" s="42">
        <f>+E24*0.4</f>
        <v>0.27200000000000002</v>
      </c>
      <c r="H26" s="43"/>
      <c r="I26" s="44"/>
      <c r="J26" s="45">
        <v>0.81200000000000006</v>
      </c>
      <c r="K26" s="199"/>
      <c r="L26" s="199"/>
      <c r="M26" s="199"/>
      <c r="N26" s="199"/>
      <c r="O26" s="199"/>
      <c r="P26" s="20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9"/>
      <c r="C27" s="199"/>
      <c r="D27" s="199"/>
      <c r="E27" s="199"/>
      <c r="F27" s="41" t="s">
        <v>78</v>
      </c>
      <c r="G27" s="42">
        <f>IF(E24&lt;0.125,"NA",IF(0.125&lt;=E24,(0.8*E24)))</f>
        <v>0.54400000000000004</v>
      </c>
      <c r="H27" s="43"/>
      <c r="I27" s="44"/>
      <c r="J27" s="45">
        <v>0.61</v>
      </c>
      <c r="K27" s="199"/>
      <c r="L27" s="199"/>
      <c r="M27" s="199"/>
      <c r="N27" s="199"/>
      <c r="O27" s="199"/>
      <c r="P27" s="20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20"/>
      <c r="C28" s="200"/>
      <c r="D28" s="200"/>
      <c r="E28" s="200"/>
      <c r="F28" s="46" t="s">
        <v>79</v>
      </c>
      <c r="G28" s="47">
        <f>+E24</f>
        <v>0.68</v>
      </c>
      <c r="H28" s="48"/>
      <c r="I28" s="49"/>
      <c r="J28" s="50">
        <v>1.0920000000000001</v>
      </c>
      <c r="K28" s="200"/>
      <c r="L28" s="200"/>
      <c r="M28" s="200"/>
      <c r="N28" s="200"/>
      <c r="O28" s="200"/>
      <c r="P28" s="20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18">
        <v>3</v>
      </c>
      <c r="C29" s="221">
        <f>+C24+$N$12</f>
        <v>12.4</v>
      </c>
      <c r="D29" s="198">
        <v>0.79</v>
      </c>
      <c r="E29" s="198">
        <v>0.56999999999999995</v>
      </c>
      <c r="F29" s="36" t="s">
        <v>75</v>
      </c>
      <c r="G29" s="37">
        <v>0</v>
      </c>
      <c r="H29" s="38"/>
      <c r="I29" s="39"/>
      <c r="J29" s="40">
        <v>0.54</v>
      </c>
      <c r="K29" s="198">
        <f>+IF(E29&lt;=0.12,(J31),(IF(E29&lt;0.16,((J30+2*J31+J32)/4),IF(E29&gt;=0.16,((J29+3*J30+2*J31+3*J32+J33)/10)))))</f>
        <v>1.0965</v>
      </c>
      <c r="L29" s="198">
        <f>ROUND(+(D24+D29)/2*(C29-C24),3)</f>
        <v>2.19</v>
      </c>
      <c r="M29" s="198">
        <f>ROUND(+K29*L29,4)</f>
        <v>2.4013</v>
      </c>
      <c r="N29" s="201">
        <f>ROUND(+M29/$M$93*100,2)</f>
        <v>13.3</v>
      </c>
      <c r="O29" s="202"/>
      <c r="P29" s="20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9"/>
      <c r="C30" s="199"/>
      <c r="D30" s="199"/>
      <c r="E30" s="199"/>
      <c r="F30" s="41" t="s">
        <v>76</v>
      </c>
      <c r="G30" s="42">
        <f>IF(E29&lt;0.125,"NA",IF(0.125&lt;=E29,(0.2*E29)))</f>
        <v>0.11399999999999999</v>
      </c>
      <c r="H30" s="43"/>
      <c r="I30" s="44"/>
      <c r="J30" s="45">
        <v>1.095</v>
      </c>
      <c r="K30" s="199"/>
      <c r="L30" s="199"/>
      <c r="M30" s="199"/>
      <c r="N30" s="199"/>
      <c r="O30" s="199"/>
      <c r="P30" s="20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9"/>
      <c r="C31" s="199"/>
      <c r="D31" s="199"/>
      <c r="E31" s="199"/>
      <c r="F31" s="41" t="s">
        <v>77</v>
      </c>
      <c r="G31" s="42">
        <f>+E29*0.4</f>
        <v>0.22799999999999998</v>
      </c>
      <c r="H31" s="43"/>
      <c r="I31" s="44"/>
      <c r="J31" s="45">
        <v>1.1859999999999999</v>
      </c>
      <c r="K31" s="199"/>
      <c r="L31" s="199"/>
      <c r="M31" s="199"/>
      <c r="N31" s="199"/>
      <c r="O31" s="199"/>
      <c r="P31" s="20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9"/>
      <c r="C32" s="199"/>
      <c r="D32" s="199"/>
      <c r="E32" s="199"/>
      <c r="F32" s="41" t="s">
        <v>78</v>
      </c>
      <c r="G32" s="42">
        <f>IF(E29&lt;0.125,"NA",IF(0.125&lt;=E29,(0.8*E29)))</f>
        <v>0.45599999999999996</v>
      </c>
      <c r="H32" s="43"/>
      <c r="I32" s="44"/>
      <c r="J32" s="45">
        <v>1.198</v>
      </c>
      <c r="K32" s="199"/>
      <c r="L32" s="199"/>
      <c r="M32" s="199"/>
      <c r="N32" s="199"/>
      <c r="O32" s="199"/>
      <c r="P32" s="20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20"/>
      <c r="C33" s="200"/>
      <c r="D33" s="200"/>
      <c r="E33" s="200"/>
      <c r="F33" s="46" t="s">
        <v>79</v>
      </c>
      <c r="G33" s="47">
        <f>+E29</f>
        <v>0.56999999999999995</v>
      </c>
      <c r="H33" s="48"/>
      <c r="I33" s="49"/>
      <c r="J33" s="50">
        <v>1.1739999999999999</v>
      </c>
      <c r="K33" s="200"/>
      <c r="L33" s="200"/>
      <c r="M33" s="200"/>
      <c r="N33" s="200"/>
      <c r="O33" s="200"/>
      <c r="P33" s="20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18">
        <v>4</v>
      </c>
      <c r="C34" s="221">
        <f>+C29+$N$12</f>
        <v>15.4</v>
      </c>
      <c r="D34" s="198">
        <v>0.66</v>
      </c>
      <c r="E34" s="198">
        <v>0.72499999999999998</v>
      </c>
      <c r="F34" s="36" t="s">
        <v>75</v>
      </c>
      <c r="G34" s="37">
        <v>0</v>
      </c>
      <c r="H34" s="38"/>
      <c r="I34" s="39"/>
      <c r="J34" s="40">
        <v>0.48199999999999998</v>
      </c>
      <c r="K34" s="198">
        <f>+IF(E34&lt;=0.12,(J36),(IF(E34&lt;0.16,((J35+2*J36+J37)/4),IF(E34&gt;=0.16,((J34+3*J35+2*J36+3*J37+J38)/10)))))</f>
        <v>0.86990000000000001</v>
      </c>
      <c r="L34" s="198">
        <f>ROUND(+(D29+D34)/2*(C34-C29),3)</f>
        <v>2.1749999999999998</v>
      </c>
      <c r="M34" s="198">
        <f>ROUND(+K34*L34,4)</f>
        <v>1.8919999999999999</v>
      </c>
      <c r="N34" s="201">
        <f>ROUND(+M34/$M$93*100,2)</f>
        <v>10.48</v>
      </c>
      <c r="O34" s="202"/>
      <c r="P34" s="20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9"/>
      <c r="C35" s="199"/>
      <c r="D35" s="199"/>
      <c r="E35" s="199"/>
      <c r="F35" s="41" t="s">
        <v>76</v>
      </c>
      <c r="G35" s="42">
        <f>IF(E34&lt;0.125,"NA",IF(0.125&lt;=E34,(0.2*E34)))</f>
        <v>0.14499999999999999</v>
      </c>
      <c r="H35" s="43"/>
      <c r="I35" s="44"/>
      <c r="J35" s="45">
        <v>0.60699999999999998</v>
      </c>
      <c r="K35" s="199"/>
      <c r="L35" s="199"/>
      <c r="M35" s="199"/>
      <c r="N35" s="199"/>
      <c r="O35" s="199"/>
      <c r="P35" s="20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9"/>
      <c r="C36" s="199"/>
      <c r="D36" s="199"/>
      <c r="E36" s="199"/>
      <c r="F36" s="41" t="s">
        <v>77</v>
      </c>
      <c r="G36" s="42">
        <f>+E34*0.4</f>
        <v>0.28999999999999998</v>
      </c>
      <c r="H36" s="43"/>
      <c r="I36" s="44"/>
      <c r="J36" s="45">
        <v>0.90400000000000003</v>
      </c>
      <c r="K36" s="199"/>
      <c r="L36" s="199"/>
      <c r="M36" s="199"/>
      <c r="N36" s="199"/>
      <c r="O36" s="199"/>
      <c r="P36" s="20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9"/>
      <c r="C37" s="199"/>
      <c r="D37" s="199"/>
      <c r="E37" s="199"/>
      <c r="F37" s="41" t="s">
        <v>78</v>
      </c>
      <c r="G37" s="42">
        <f>IF(E34&lt;0.125,"NA",IF(0.125&lt;=E34,(0.8*E34)))</f>
        <v>0.57999999999999996</v>
      </c>
      <c r="H37" s="43"/>
      <c r="I37" s="44"/>
      <c r="J37" s="45">
        <v>1.107</v>
      </c>
      <c r="K37" s="199"/>
      <c r="L37" s="199"/>
      <c r="M37" s="199"/>
      <c r="N37" s="199"/>
      <c r="O37" s="199"/>
      <c r="P37" s="20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20"/>
      <c r="C38" s="200"/>
      <c r="D38" s="200"/>
      <c r="E38" s="200"/>
      <c r="F38" s="46" t="s">
        <v>79</v>
      </c>
      <c r="G38" s="47">
        <f>+E34</f>
        <v>0.72499999999999998</v>
      </c>
      <c r="H38" s="48"/>
      <c r="I38" s="49"/>
      <c r="J38" s="50">
        <v>1.2669999999999999</v>
      </c>
      <c r="K38" s="200"/>
      <c r="L38" s="200"/>
      <c r="M38" s="200"/>
      <c r="N38" s="200"/>
      <c r="O38" s="200"/>
      <c r="P38" s="20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18">
        <v>5</v>
      </c>
      <c r="C39" s="221">
        <f>+C34+$N$12</f>
        <v>18.399999999999999</v>
      </c>
      <c r="D39" s="198">
        <v>0.71399999999999997</v>
      </c>
      <c r="E39" s="198">
        <v>0.69799999999999995</v>
      </c>
      <c r="F39" s="36" t="s">
        <v>75</v>
      </c>
      <c r="G39" s="37">
        <v>0</v>
      </c>
      <c r="H39" s="38"/>
      <c r="I39" s="39"/>
      <c r="J39" s="40">
        <v>0.313</v>
      </c>
      <c r="K39" s="198">
        <f>+IF(E39&lt;=0.12,(J41),(IF(E39&lt;0.16,((J40+2*J41+J42)/4),IF(E39&gt;=0.16,((J39+3*J40+2*J41+3*J42+J43)/10)))))</f>
        <v>1.0347000000000002</v>
      </c>
      <c r="L39" s="198">
        <f>ROUND(+(D34+D39)/2*(C39-C34),3)</f>
        <v>2.0609999999999999</v>
      </c>
      <c r="M39" s="198">
        <f>ROUND(+K39*L39,4)</f>
        <v>2.1324999999999998</v>
      </c>
      <c r="N39" s="201">
        <f>ROUND(+M39/$M$93*100,2)</f>
        <v>11.82</v>
      </c>
      <c r="O39" s="202"/>
      <c r="P39" s="20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9"/>
      <c r="C40" s="199"/>
      <c r="D40" s="199"/>
      <c r="E40" s="199"/>
      <c r="F40" s="41" t="s">
        <v>76</v>
      </c>
      <c r="G40" s="42">
        <f>IF(E39&lt;0.125,"NA",IF(0.125&lt;=E39,(0.2*E39)))</f>
        <v>0.1396</v>
      </c>
      <c r="H40" s="43"/>
      <c r="I40" s="44"/>
      <c r="J40" s="45">
        <v>0.83699999999999997</v>
      </c>
      <c r="K40" s="199"/>
      <c r="L40" s="199"/>
      <c r="M40" s="199"/>
      <c r="N40" s="199"/>
      <c r="O40" s="199"/>
      <c r="P40" s="20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9"/>
      <c r="C41" s="199"/>
      <c r="D41" s="199"/>
      <c r="E41" s="199"/>
      <c r="F41" s="41" t="s">
        <v>77</v>
      </c>
      <c r="G41" s="42">
        <f>+E39*0.4</f>
        <v>0.2792</v>
      </c>
      <c r="H41" s="43"/>
      <c r="I41" s="44"/>
      <c r="J41" s="45">
        <v>1.31</v>
      </c>
      <c r="K41" s="199"/>
      <c r="L41" s="199"/>
      <c r="M41" s="199"/>
      <c r="N41" s="199"/>
      <c r="O41" s="199"/>
      <c r="P41" s="20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9"/>
      <c r="C42" s="199"/>
      <c r="D42" s="199"/>
      <c r="E42" s="199"/>
      <c r="F42" s="41" t="s">
        <v>78</v>
      </c>
      <c r="G42" s="42">
        <f>IF(E39&lt;0.125,"NA",IF(0.125&lt;=E39,(0.8*E39)))</f>
        <v>0.55840000000000001</v>
      </c>
      <c r="H42" s="43"/>
      <c r="I42" s="44"/>
      <c r="J42" s="45">
        <v>1.153</v>
      </c>
      <c r="K42" s="199"/>
      <c r="L42" s="199"/>
      <c r="M42" s="199"/>
      <c r="N42" s="199"/>
      <c r="O42" s="199"/>
      <c r="P42" s="20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20"/>
      <c r="C43" s="200"/>
      <c r="D43" s="200"/>
      <c r="E43" s="200"/>
      <c r="F43" s="46" t="s">
        <v>79</v>
      </c>
      <c r="G43" s="47">
        <f>+E39</f>
        <v>0.69799999999999995</v>
      </c>
      <c r="H43" s="48"/>
      <c r="I43" s="49"/>
      <c r="J43" s="50">
        <v>1.444</v>
      </c>
      <c r="K43" s="200"/>
      <c r="L43" s="200"/>
      <c r="M43" s="200"/>
      <c r="N43" s="200"/>
      <c r="O43" s="200"/>
      <c r="P43" s="20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18">
        <v>6</v>
      </c>
      <c r="C44" s="221">
        <f>+C39+$N$12</f>
        <v>21.4</v>
      </c>
      <c r="D44" s="198">
        <v>0.69299999999999995</v>
      </c>
      <c r="E44" s="198">
        <v>0.73899999999999999</v>
      </c>
      <c r="F44" s="36" t="s">
        <v>75</v>
      </c>
      <c r="G44" s="37">
        <v>0</v>
      </c>
      <c r="H44" s="38"/>
      <c r="I44" s="39"/>
      <c r="J44" s="40">
        <v>0.36599999999999999</v>
      </c>
      <c r="K44" s="198">
        <f>+IF(E44&lt;=0.12,(J46),(IF(E44&lt;0.16,((J45+2*J46+J47)/4),IF(E44&gt;=0.16,((J44+3*J45+2*J46+3*J47+J48)/10)))))</f>
        <v>0.88739999999999986</v>
      </c>
      <c r="L44" s="198">
        <f>ROUND(+(D39+D44)/2*(C44-C39),3)</f>
        <v>2.1110000000000002</v>
      </c>
      <c r="M44" s="198">
        <f>ROUND(+K44*L44,4)</f>
        <v>1.8733</v>
      </c>
      <c r="N44" s="201">
        <f>ROUND(+M44/$M$93*100,2)</f>
        <v>10.38</v>
      </c>
      <c r="O44" s="202"/>
      <c r="P44" s="20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9"/>
      <c r="C45" s="199"/>
      <c r="D45" s="199"/>
      <c r="E45" s="199"/>
      <c r="F45" s="41" t="s">
        <v>76</v>
      </c>
      <c r="G45" s="42">
        <f>IF(E44&lt;0.125,"NA",IF(0.125&lt;=E44,(0.2*E44)))</f>
        <v>0.14780000000000001</v>
      </c>
      <c r="H45" s="43"/>
      <c r="I45" s="44"/>
      <c r="J45" s="45">
        <v>0.84099999999999997</v>
      </c>
      <c r="K45" s="199"/>
      <c r="L45" s="199"/>
      <c r="M45" s="199"/>
      <c r="N45" s="199"/>
      <c r="O45" s="199"/>
      <c r="P45" s="20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9"/>
      <c r="C46" s="199"/>
      <c r="D46" s="199"/>
      <c r="E46" s="199"/>
      <c r="F46" s="41" t="s">
        <v>77</v>
      </c>
      <c r="G46" s="42">
        <f>+E44*0.4</f>
        <v>0.29560000000000003</v>
      </c>
      <c r="H46" s="43"/>
      <c r="I46" s="44"/>
      <c r="J46" s="45">
        <v>0.91100000000000003</v>
      </c>
      <c r="K46" s="199"/>
      <c r="L46" s="199"/>
      <c r="M46" s="199"/>
      <c r="N46" s="199"/>
      <c r="O46" s="199"/>
      <c r="P46" s="20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9"/>
      <c r="C47" s="199"/>
      <c r="D47" s="199"/>
      <c r="E47" s="199"/>
      <c r="F47" s="41" t="s">
        <v>78</v>
      </c>
      <c r="G47" s="42">
        <f>IF(E44&lt;0.125,"NA",IF(0.125&lt;=E44,(0.8*E44)))</f>
        <v>0.59120000000000006</v>
      </c>
      <c r="H47" s="43"/>
      <c r="I47" s="44"/>
      <c r="J47" s="45">
        <v>1.0249999999999999</v>
      </c>
      <c r="K47" s="199"/>
      <c r="L47" s="199"/>
      <c r="M47" s="199"/>
      <c r="N47" s="199"/>
      <c r="O47" s="199"/>
      <c r="P47" s="20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20"/>
      <c r="C48" s="200"/>
      <c r="D48" s="200"/>
      <c r="E48" s="200"/>
      <c r="F48" s="46" t="s">
        <v>79</v>
      </c>
      <c r="G48" s="47">
        <f>+E44</f>
        <v>0.73899999999999999</v>
      </c>
      <c r="H48" s="48"/>
      <c r="I48" s="49"/>
      <c r="J48" s="50">
        <v>1.0880000000000001</v>
      </c>
      <c r="K48" s="200"/>
      <c r="L48" s="200"/>
      <c r="M48" s="200"/>
      <c r="N48" s="200"/>
      <c r="O48" s="200"/>
      <c r="P48" s="20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18">
        <v>7</v>
      </c>
      <c r="C49" s="221">
        <f>+C44+$N$12</f>
        <v>24.4</v>
      </c>
      <c r="D49" s="198">
        <v>0.69899999999999995</v>
      </c>
      <c r="E49" s="198">
        <v>0.58499999999999996</v>
      </c>
      <c r="F49" s="36" t="s">
        <v>75</v>
      </c>
      <c r="G49" s="37">
        <v>0</v>
      </c>
      <c r="H49" s="38"/>
      <c r="I49" s="39"/>
      <c r="J49" s="40">
        <v>0.318</v>
      </c>
      <c r="K49" s="198">
        <f>+IF(E49&lt;=0.12,(J51),(IF(E49&lt;0.16,((J50+2*J51+J52)/4),IF(E49&gt;=0.16,((J49+3*J50+2*J51+3*J52+J53)/10)))))</f>
        <v>1.0853999999999999</v>
      </c>
      <c r="L49" s="198">
        <f>ROUND(+(D44+D49)/2*(C49-C44),3)</f>
        <v>2.0880000000000001</v>
      </c>
      <c r="M49" s="198">
        <f>ROUND(+K49*L49,4)</f>
        <v>2.2663000000000002</v>
      </c>
      <c r="N49" s="201">
        <f>ROUND(+M49/$M$93*100,2)</f>
        <v>12.56</v>
      </c>
      <c r="O49" s="202"/>
      <c r="P49" s="20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9"/>
      <c r="C50" s="199"/>
      <c r="D50" s="199"/>
      <c r="E50" s="199"/>
      <c r="F50" s="41" t="s">
        <v>76</v>
      </c>
      <c r="G50" s="42">
        <f>IF(E49&lt;0.125,"NA",IF(0.125&lt;=E49,(0.2*E49)))</f>
        <v>0.11699999999999999</v>
      </c>
      <c r="H50" s="43"/>
      <c r="I50" s="44"/>
      <c r="J50" s="45">
        <v>1.0269999999999999</v>
      </c>
      <c r="K50" s="199"/>
      <c r="L50" s="199"/>
      <c r="M50" s="199"/>
      <c r="N50" s="199"/>
      <c r="O50" s="199"/>
      <c r="P50" s="20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9"/>
      <c r="C51" s="199"/>
      <c r="D51" s="199"/>
      <c r="E51" s="199"/>
      <c r="F51" s="41" t="s">
        <v>77</v>
      </c>
      <c r="G51" s="42">
        <f>+E49*0.4</f>
        <v>0.23399999999999999</v>
      </c>
      <c r="H51" s="43"/>
      <c r="I51" s="44"/>
      <c r="J51" s="45">
        <v>1.1220000000000001</v>
      </c>
      <c r="K51" s="199"/>
      <c r="L51" s="199"/>
      <c r="M51" s="199"/>
      <c r="N51" s="199"/>
      <c r="O51" s="199"/>
      <c r="P51" s="20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9"/>
      <c r="C52" s="199"/>
      <c r="D52" s="199"/>
      <c r="E52" s="199"/>
      <c r="F52" s="41" t="s">
        <v>78</v>
      </c>
      <c r="G52" s="42">
        <f>IF(E49&lt;0.125,"NA",IF(0.125&lt;=E49,(0.8*E49)))</f>
        <v>0.46799999999999997</v>
      </c>
      <c r="H52" s="43"/>
      <c r="I52" s="44"/>
      <c r="J52" s="45">
        <v>1.2969999999999999</v>
      </c>
      <c r="K52" s="199"/>
      <c r="L52" s="199"/>
      <c r="M52" s="199"/>
      <c r="N52" s="199"/>
      <c r="O52" s="199"/>
      <c r="P52" s="20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20"/>
      <c r="C53" s="200"/>
      <c r="D53" s="200"/>
      <c r="E53" s="200"/>
      <c r="F53" s="46" t="s">
        <v>79</v>
      </c>
      <c r="G53" s="47">
        <f>+E49</f>
        <v>0.58499999999999996</v>
      </c>
      <c r="H53" s="48"/>
      <c r="I53" s="49"/>
      <c r="J53" s="50">
        <v>1.32</v>
      </c>
      <c r="K53" s="200"/>
      <c r="L53" s="200"/>
      <c r="M53" s="200"/>
      <c r="N53" s="200"/>
      <c r="O53" s="200"/>
      <c r="P53" s="20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18">
        <v>8</v>
      </c>
      <c r="C54" s="221">
        <f>+C49+$N$12</f>
        <v>27.4</v>
      </c>
      <c r="D54" s="198">
        <v>0.96</v>
      </c>
      <c r="E54" s="198">
        <v>0.76</v>
      </c>
      <c r="F54" s="36" t="s">
        <v>75</v>
      </c>
      <c r="G54" s="37">
        <v>0</v>
      </c>
      <c r="H54" s="38"/>
      <c r="I54" s="39"/>
      <c r="J54" s="40">
        <v>0.82499999999999996</v>
      </c>
      <c r="K54" s="198">
        <f>+IF(E54&lt;=0.12,(J56),(IF(E54&lt;0.16,((J55+2*J56+J57)/4),IF(E54&gt;=0.16,((J54+3*J55+2*J56+3*J57+J58)/10)))))</f>
        <v>1.1651</v>
      </c>
      <c r="L54" s="198">
        <f>ROUND(+(D49+D54)/2*(C54-C49),3)</f>
        <v>2.4889999999999999</v>
      </c>
      <c r="M54" s="198">
        <f>ROUND(+K54*L54,4)</f>
        <v>2.8999000000000001</v>
      </c>
      <c r="N54" s="201">
        <f>ROUND(+M54/$M$93*100,2)</f>
        <v>16.07</v>
      </c>
      <c r="O54" s="202"/>
      <c r="P54" s="20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9"/>
      <c r="C55" s="199"/>
      <c r="D55" s="199"/>
      <c r="E55" s="199"/>
      <c r="F55" s="41" t="s">
        <v>76</v>
      </c>
      <c r="G55" s="42">
        <f>IF(E54&lt;0.125,"NA",IF(0.125&lt;=E54,(0.2*E54)))</f>
        <v>0.15200000000000002</v>
      </c>
      <c r="H55" s="43"/>
      <c r="I55" s="44"/>
      <c r="J55" s="45">
        <v>1.0329999999999999</v>
      </c>
      <c r="K55" s="199"/>
      <c r="L55" s="199"/>
      <c r="M55" s="199"/>
      <c r="N55" s="199"/>
      <c r="O55" s="199"/>
      <c r="P55" s="20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9"/>
      <c r="C56" s="199"/>
      <c r="D56" s="199"/>
      <c r="E56" s="199"/>
      <c r="F56" s="41" t="s">
        <v>77</v>
      </c>
      <c r="G56" s="42">
        <f>+E54*0.4</f>
        <v>0.30400000000000005</v>
      </c>
      <c r="H56" s="43"/>
      <c r="I56" s="44"/>
      <c r="J56" s="45">
        <v>1.212</v>
      </c>
      <c r="K56" s="199"/>
      <c r="L56" s="199"/>
      <c r="M56" s="199"/>
      <c r="N56" s="199"/>
      <c r="O56" s="199"/>
      <c r="P56" s="20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9"/>
      <c r="C57" s="199"/>
      <c r="D57" s="199"/>
      <c r="E57" s="199"/>
      <c r="F57" s="41" t="s">
        <v>78</v>
      </c>
      <c r="G57" s="42">
        <f>IF(E54&lt;0.125,"NA",IF(0.125&lt;=E54,(0.8*E54)))</f>
        <v>0.6080000000000001</v>
      </c>
      <c r="H57" s="43"/>
      <c r="I57" s="44"/>
      <c r="J57" s="45">
        <v>1.321</v>
      </c>
      <c r="K57" s="199"/>
      <c r="L57" s="199"/>
      <c r="M57" s="199"/>
      <c r="N57" s="199"/>
      <c r="O57" s="199"/>
      <c r="P57" s="20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20"/>
      <c r="C58" s="200"/>
      <c r="D58" s="200"/>
      <c r="E58" s="200"/>
      <c r="F58" s="46" t="s">
        <v>79</v>
      </c>
      <c r="G58" s="47">
        <f>+E54</f>
        <v>0.76</v>
      </c>
      <c r="H58" s="48"/>
      <c r="I58" s="49"/>
      <c r="J58" s="50">
        <v>1.34</v>
      </c>
      <c r="K58" s="200"/>
      <c r="L58" s="200"/>
      <c r="M58" s="200"/>
      <c r="N58" s="200"/>
      <c r="O58" s="200"/>
      <c r="P58" s="20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18">
        <v>9</v>
      </c>
      <c r="C59" s="221">
        <f>+C54+$N$12</f>
        <v>30.4</v>
      </c>
      <c r="D59" s="198">
        <v>0.67700000000000005</v>
      </c>
      <c r="E59" s="198">
        <v>0.91</v>
      </c>
      <c r="F59" s="36" t="s">
        <v>75</v>
      </c>
      <c r="G59" s="37">
        <v>0</v>
      </c>
      <c r="H59" s="38"/>
      <c r="I59" s="39"/>
      <c r="J59" s="40"/>
      <c r="K59" s="198"/>
      <c r="L59" s="198"/>
      <c r="M59" s="198"/>
      <c r="N59" s="201"/>
      <c r="O59" s="202"/>
      <c r="P59" s="20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9"/>
      <c r="C60" s="199"/>
      <c r="D60" s="199"/>
      <c r="E60" s="199"/>
      <c r="F60" s="41" t="s">
        <v>76</v>
      </c>
      <c r="G60" s="42">
        <f>IF(E59&lt;0.125,"NA",IF(0.125&lt;=E59,(0.2*E59)))</f>
        <v>0.18200000000000002</v>
      </c>
      <c r="H60" s="43"/>
      <c r="I60" s="44"/>
      <c r="J60" s="45"/>
      <c r="K60" s="199"/>
      <c r="L60" s="199"/>
      <c r="M60" s="199"/>
      <c r="N60" s="199"/>
      <c r="O60" s="199"/>
      <c r="P60" s="20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9"/>
      <c r="C61" s="199"/>
      <c r="D61" s="199"/>
      <c r="E61" s="199"/>
      <c r="F61" s="41" t="s">
        <v>77</v>
      </c>
      <c r="G61" s="42">
        <f>+E59*0.4</f>
        <v>0.36400000000000005</v>
      </c>
      <c r="H61" s="43"/>
      <c r="I61" s="44"/>
      <c r="J61" s="45"/>
      <c r="K61" s="199"/>
      <c r="L61" s="199"/>
      <c r="M61" s="199"/>
      <c r="N61" s="199"/>
      <c r="O61" s="199"/>
      <c r="P61" s="20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9"/>
      <c r="C62" s="199"/>
      <c r="D62" s="199"/>
      <c r="E62" s="199"/>
      <c r="F62" s="41" t="s">
        <v>78</v>
      </c>
      <c r="G62" s="42">
        <f>IF(E59&lt;0.125,"NA",IF(0.125&lt;=E59,(0.8*E59)))</f>
        <v>0.72800000000000009</v>
      </c>
      <c r="H62" s="43"/>
      <c r="I62" s="44"/>
      <c r="J62" s="45"/>
      <c r="K62" s="199"/>
      <c r="L62" s="199"/>
      <c r="M62" s="199"/>
      <c r="N62" s="199"/>
      <c r="O62" s="199"/>
      <c r="P62" s="20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20"/>
      <c r="C63" s="200"/>
      <c r="D63" s="200"/>
      <c r="E63" s="200"/>
      <c r="F63" s="46" t="s">
        <v>79</v>
      </c>
      <c r="G63" s="47">
        <f>+E59</f>
        <v>0.91</v>
      </c>
      <c r="H63" s="48"/>
      <c r="I63" s="49"/>
      <c r="J63" s="50"/>
      <c r="K63" s="200"/>
      <c r="L63" s="200"/>
      <c r="M63" s="200"/>
      <c r="N63" s="200"/>
      <c r="O63" s="200"/>
      <c r="P63" s="20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18">
        <v>10</v>
      </c>
      <c r="C64" s="221">
        <f>+C59+$N$12</f>
        <v>33.4</v>
      </c>
      <c r="D64" s="198">
        <v>0.4</v>
      </c>
      <c r="E64" s="198">
        <v>0.63</v>
      </c>
      <c r="F64" s="36" t="s">
        <v>75</v>
      </c>
      <c r="G64" s="37">
        <v>0</v>
      </c>
      <c r="H64" s="38"/>
      <c r="I64" s="39"/>
      <c r="J64" s="40">
        <v>0.41</v>
      </c>
      <c r="K64" s="198">
        <f>+IF(E64&lt;=0.12,(J66),(IF(E64&lt;0.16,((J65+2*J66+J67)/4),IF(E64&gt;=0.16,((J64+3*J65+2*J66+3*J67+J68)/10)))))</f>
        <v>0.36849999999999994</v>
      </c>
      <c r="L64" s="198">
        <f>ROUND(+(D59+D64)/2*(C64-C59),3)</f>
        <v>1.6160000000000001</v>
      </c>
      <c r="M64" s="198">
        <f>ROUND(+K64*L64,4)</f>
        <v>0.59550000000000003</v>
      </c>
      <c r="N64" s="201">
        <f>ROUND(+M64/$M$93*100,2)</f>
        <v>3.3</v>
      </c>
      <c r="O64" s="202"/>
      <c r="P64" s="20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9"/>
      <c r="C65" s="199"/>
      <c r="D65" s="199"/>
      <c r="E65" s="199"/>
      <c r="F65" s="41" t="s">
        <v>76</v>
      </c>
      <c r="G65" s="42">
        <f>IF(E64&lt;0.125,"NA",IF(0.125&lt;=E64,(0.2*E64)))</f>
        <v>0.126</v>
      </c>
      <c r="H65" s="43"/>
      <c r="I65" s="44"/>
      <c r="J65" s="45">
        <v>0.35399999999999998</v>
      </c>
      <c r="K65" s="199"/>
      <c r="L65" s="199"/>
      <c r="M65" s="199"/>
      <c r="N65" s="199"/>
      <c r="O65" s="199"/>
      <c r="P65" s="20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9"/>
      <c r="C66" s="199"/>
      <c r="D66" s="199"/>
      <c r="E66" s="199"/>
      <c r="F66" s="41" t="s">
        <v>77</v>
      </c>
      <c r="G66" s="42">
        <f>+E64*0.4</f>
        <v>0.252</v>
      </c>
      <c r="H66" s="43"/>
      <c r="I66" s="44"/>
      <c r="J66" s="45">
        <v>0.40799999999999997</v>
      </c>
      <c r="K66" s="199"/>
      <c r="L66" s="199"/>
      <c r="M66" s="199"/>
      <c r="N66" s="199"/>
      <c r="O66" s="199"/>
      <c r="P66" s="20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9"/>
      <c r="C67" s="199"/>
      <c r="D67" s="199"/>
      <c r="E67" s="199"/>
      <c r="F67" s="41" t="s">
        <v>78</v>
      </c>
      <c r="G67" s="42">
        <f>IF(E64&lt;0.125,"NA",IF(0.125&lt;=E64,(0.8*E64)))</f>
        <v>0.504</v>
      </c>
      <c r="H67" s="43"/>
      <c r="I67" s="44"/>
      <c r="J67" s="45">
        <v>0.37</v>
      </c>
      <c r="K67" s="199"/>
      <c r="L67" s="199"/>
      <c r="M67" s="199"/>
      <c r="N67" s="199"/>
      <c r="O67" s="199"/>
      <c r="P67" s="20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20"/>
      <c r="C68" s="200"/>
      <c r="D68" s="200"/>
      <c r="E68" s="200"/>
      <c r="F68" s="46" t="s">
        <v>79</v>
      </c>
      <c r="G68" s="47">
        <f>+E64</f>
        <v>0.63</v>
      </c>
      <c r="H68" s="48"/>
      <c r="I68" s="49"/>
      <c r="J68" s="50">
        <v>0.28699999999999998</v>
      </c>
      <c r="K68" s="200"/>
      <c r="L68" s="200"/>
      <c r="M68" s="200"/>
      <c r="N68" s="200"/>
      <c r="O68" s="200"/>
      <c r="P68" s="20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18">
        <v>11</v>
      </c>
      <c r="C69" s="221">
        <f>+C64+$N$12</f>
        <v>36.4</v>
      </c>
      <c r="D69" s="198">
        <v>0</v>
      </c>
      <c r="E69" s="198">
        <v>0.3</v>
      </c>
      <c r="F69" s="36" t="s">
        <v>75</v>
      </c>
      <c r="G69" s="37">
        <v>0</v>
      </c>
      <c r="H69" s="38"/>
      <c r="I69" s="39"/>
      <c r="J69" s="40">
        <v>0.13</v>
      </c>
      <c r="K69" s="198">
        <f>+IF(E69&lt;=0.12,(J71),(IF(E69&lt;0.16,((J70+2*J71+J72)/4),IF(E69&gt;=0.16,((J69+3*J70+2*J71+3*J72+J73)/10)))))</f>
        <v>0.20869999999999997</v>
      </c>
      <c r="L69" s="198">
        <f>ROUND(+(D64+D69)/2*(C69-C64),3)</f>
        <v>0.6</v>
      </c>
      <c r="M69" s="198">
        <f>ROUND(+K69*L69,4)</f>
        <v>0.12520000000000001</v>
      </c>
      <c r="N69" s="201">
        <f>ROUND(+M69/$M$93*100,2)</f>
        <v>0.69</v>
      </c>
      <c r="O69" s="202"/>
      <c r="P69" s="20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9"/>
      <c r="C70" s="199"/>
      <c r="D70" s="199"/>
      <c r="E70" s="199"/>
      <c r="F70" s="41" t="s">
        <v>76</v>
      </c>
      <c r="G70" s="42">
        <f>IF(E69&lt;0.125,"NA",IF(0.125&lt;=E69,(0.2*E69)))</f>
        <v>0.06</v>
      </c>
      <c r="H70" s="43"/>
      <c r="I70" s="44"/>
      <c r="J70" s="45">
        <v>0.19900000000000001</v>
      </c>
      <c r="K70" s="199"/>
      <c r="L70" s="199"/>
      <c r="M70" s="199"/>
      <c r="N70" s="199"/>
      <c r="O70" s="199"/>
      <c r="P70" s="20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9"/>
      <c r="C71" s="199"/>
      <c r="D71" s="199"/>
      <c r="E71" s="199"/>
      <c r="F71" s="41" t="s">
        <v>77</v>
      </c>
      <c r="G71" s="42">
        <f>+E69*0.4</f>
        <v>0.12</v>
      </c>
      <c r="H71" s="43"/>
      <c r="I71" s="44"/>
      <c r="J71" s="45">
        <v>0.20599999999999999</v>
      </c>
      <c r="K71" s="199"/>
      <c r="L71" s="199"/>
      <c r="M71" s="199"/>
      <c r="N71" s="199"/>
      <c r="O71" s="199"/>
      <c r="P71" s="20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9"/>
      <c r="C72" s="199"/>
      <c r="D72" s="199"/>
      <c r="E72" s="199"/>
      <c r="F72" s="41" t="s">
        <v>78</v>
      </c>
      <c r="G72" s="42">
        <f>IF(E69&lt;0.125,"NA",IF(0.125&lt;=E69,(0.8*E69)))</f>
        <v>0.24</v>
      </c>
      <c r="H72" s="43"/>
      <c r="I72" s="44"/>
      <c r="J72" s="45">
        <v>0.22800000000000001</v>
      </c>
      <c r="K72" s="199"/>
      <c r="L72" s="199"/>
      <c r="M72" s="199"/>
      <c r="N72" s="199"/>
      <c r="O72" s="199"/>
      <c r="P72" s="20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20"/>
      <c r="C73" s="200"/>
      <c r="D73" s="200"/>
      <c r="E73" s="200"/>
      <c r="F73" s="46" t="s">
        <v>79</v>
      </c>
      <c r="G73" s="47">
        <f>+E69</f>
        <v>0.3</v>
      </c>
      <c r="H73" s="48"/>
      <c r="I73" s="49"/>
      <c r="J73" s="50">
        <v>0.26400000000000001</v>
      </c>
      <c r="K73" s="200"/>
      <c r="L73" s="200"/>
      <c r="M73" s="200"/>
      <c r="N73" s="200"/>
      <c r="O73" s="200"/>
      <c r="P73" s="20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" customFormat="1" ht="13.5" customHeight="1" x14ac:dyDescent="0.2">
      <c r="B74" s="206" t="s">
        <v>28</v>
      </c>
      <c r="C74" s="209"/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1"/>
    </row>
    <row r="75" spans="1:26" s="3" customFormat="1" ht="14.1" customHeight="1" x14ac:dyDescent="0.2">
      <c r="B75" s="207"/>
      <c r="C75" s="212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4"/>
    </row>
    <row r="76" spans="1:26" s="3" customFormat="1" ht="14.1" customHeight="1" x14ac:dyDescent="0.2">
      <c r="B76" s="207"/>
      <c r="C76" s="212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4"/>
    </row>
    <row r="77" spans="1:26" s="3" customFormat="1" ht="14.1" customHeight="1" x14ac:dyDescent="0.2">
      <c r="B77" s="207"/>
      <c r="C77" s="212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4"/>
    </row>
    <row r="78" spans="1:26" s="3" customFormat="1" ht="14.1" customHeight="1" x14ac:dyDescent="0.2">
      <c r="B78" s="207"/>
      <c r="C78" s="212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4"/>
    </row>
    <row r="79" spans="1:26" s="3" customFormat="1" ht="14.1" customHeight="1" thickBot="1" x14ac:dyDescent="0.25">
      <c r="B79" s="208"/>
      <c r="C79" s="215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7"/>
    </row>
    <row r="80" spans="1:26" s="3" customFormat="1" ht="28.5" customHeight="1" thickBot="1" x14ac:dyDescent="0.25">
      <c r="A80" s="51"/>
      <c r="B80" s="52" t="s">
        <v>80</v>
      </c>
      <c r="C80" s="185" t="s">
        <v>81</v>
      </c>
      <c r="D80" s="185"/>
      <c r="E80" s="185"/>
      <c r="F80" s="185"/>
      <c r="G80" s="185"/>
      <c r="H80" s="186"/>
      <c r="I80" s="187"/>
      <c r="J80" s="52" t="s">
        <v>82</v>
      </c>
      <c r="K80" s="185" t="s">
        <v>83</v>
      </c>
      <c r="L80" s="185"/>
      <c r="M80" s="185"/>
      <c r="N80" s="185"/>
      <c r="O80" s="185"/>
      <c r="P80" s="186"/>
    </row>
    <row r="81" spans="1:26" s="3" customFormat="1" ht="28.5" customHeight="1" thickBot="1" x14ac:dyDescent="0.25">
      <c r="B81" s="53" t="s">
        <v>84</v>
      </c>
      <c r="C81" s="189" t="s">
        <v>85</v>
      </c>
      <c r="D81" s="189"/>
      <c r="E81" s="189"/>
      <c r="F81" s="189"/>
      <c r="G81" s="189"/>
      <c r="H81" s="190"/>
      <c r="I81" s="188"/>
      <c r="J81" s="53" t="s">
        <v>86</v>
      </c>
      <c r="K81" s="189" t="s">
        <v>87</v>
      </c>
      <c r="L81" s="189"/>
      <c r="M81" s="189"/>
      <c r="N81" s="189"/>
      <c r="O81" s="189"/>
      <c r="P81" s="190"/>
    </row>
    <row r="82" spans="1:26" s="91" customFormat="1" ht="13.5" customHeight="1" x14ac:dyDescent="0.25">
      <c r="A82" s="54"/>
      <c r="B82" s="191">
        <f>+B59</f>
        <v>9</v>
      </c>
      <c r="C82" s="194">
        <f>+C54</f>
        <v>27.4</v>
      </c>
      <c r="D82" s="196">
        <f>+D54</f>
        <v>0.96</v>
      </c>
      <c r="E82" s="196">
        <f>+E60</f>
        <v>0</v>
      </c>
      <c r="F82" s="55" t="s">
        <v>75</v>
      </c>
      <c r="G82" s="55">
        <v>0.01</v>
      </c>
      <c r="H82" s="56"/>
      <c r="I82" s="57"/>
      <c r="J82" s="58">
        <v>0.55400000000000005</v>
      </c>
      <c r="K82" s="197">
        <f>+AVERAGE(J82:J92)</f>
        <v>0.79045454545454552</v>
      </c>
      <c r="L82" s="176">
        <f>ROUND(+(D82+D87)/2*(C87-C82),3)</f>
        <v>2.456</v>
      </c>
      <c r="M82" s="179">
        <f>ROUND(+K82*L82,4)</f>
        <v>1.9414</v>
      </c>
      <c r="N82" s="176">
        <f>ROUND(+M82/$M$93*100,2)</f>
        <v>10.76</v>
      </c>
      <c r="O82" s="176"/>
      <c r="P82" s="180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s="91" customFormat="1" ht="13.5" customHeight="1" x14ac:dyDescent="0.25">
      <c r="A83" s="54"/>
      <c r="B83" s="192"/>
      <c r="C83" s="177"/>
      <c r="D83" s="177"/>
      <c r="E83" s="177"/>
      <c r="F83" s="60" t="s">
        <v>88</v>
      </c>
      <c r="G83" s="61">
        <f>+E82*0.1</f>
        <v>0</v>
      </c>
      <c r="H83" s="62"/>
      <c r="I83" s="63"/>
      <c r="J83" s="64">
        <v>0.76200000000000001</v>
      </c>
      <c r="K83" s="177"/>
      <c r="L83" s="177"/>
      <c r="M83" s="177"/>
      <c r="N83" s="177"/>
      <c r="O83" s="177"/>
      <c r="P83" s="181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s="91" customFormat="1" ht="13.5" customHeight="1" x14ac:dyDescent="0.25">
      <c r="A84" s="54"/>
      <c r="B84" s="192"/>
      <c r="C84" s="177"/>
      <c r="D84" s="177"/>
      <c r="E84" s="177"/>
      <c r="F84" s="60" t="s">
        <v>89</v>
      </c>
      <c r="G84" s="61">
        <f>+E82*0.2</f>
        <v>0</v>
      </c>
      <c r="H84" s="62"/>
      <c r="I84" s="63"/>
      <c r="J84" s="64">
        <v>0.78800000000000003</v>
      </c>
      <c r="K84" s="177"/>
      <c r="L84" s="177"/>
      <c r="M84" s="177"/>
      <c r="N84" s="177"/>
      <c r="O84" s="177"/>
      <c r="P84" s="181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s="91" customFormat="1" ht="13.5" customHeight="1" x14ac:dyDescent="0.25">
      <c r="A85" s="54"/>
      <c r="B85" s="192"/>
      <c r="C85" s="177"/>
      <c r="D85" s="177"/>
      <c r="E85" s="177"/>
      <c r="F85" s="60" t="s">
        <v>90</v>
      </c>
      <c r="G85" s="61">
        <f>+E82*0.3</f>
        <v>0</v>
      </c>
      <c r="H85" s="62"/>
      <c r="I85" s="63"/>
      <c r="J85" s="64">
        <v>0.66300000000000003</v>
      </c>
      <c r="K85" s="177"/>
      <c r="L85" s="177"/>
      <c r="M85" s="177"/>
      <c r="N85" s="177"/>
      <c r="O85" s="177"/>
      <c r="P85" s="181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s="91" customFormat="1" ht="13.5" customHeight="1" x14ac:dyDescent="0.25">
      <c r="A86" s="54"/>
      <c r="B86" s="192"/>
      <c r="C86" s="195"/>
      <c r="D86" s="195"/>
      <c r="E86" s="177"/>
      <c r="F86" s="60" t="s">
        <v>91</v>
      </c>
      <c r="G86" s="61">
        <f>+E82*0.4</f>
        <v>0</v>
      </c>
      <c r="H86" s="62"/>
      <c r="I86" s="63"/>
      <c r="J86" s="64">
        <v>0.81</v>
      </c>
      <c r="K86" s="177"/>
      <c r="L86" s="177"/>
      <c r="M86" s="177"/>
      <c r="N86" s="177"/>
      <c r="O86" s="177"/>
      <c r="P86" s="181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s="91" customFormat="1" ht="13.5" customHeight="1" x14ac:dyDescent="0.25">
      <c r="A87" s="54"/>
      <c r="B87" s="192"/>
      <c r="C87" s="183">
        <f>+C59</f>
        <v>30.4</v>
      </c>
      <c r="D87" s="184">
        <f>+D59</f>
        <v>0.67700000000000005</v>
      </c>
      <c r="E87" s="177"/>
      <c r="F87" s="60" t="s">
        <v>29</v>
      </c>
      <c r="G87" s="61">
        <f>+E82*0.5</f>
        <v>0</v>
      </c>
      <c r="H87" s="62"/>
      <c r="I87" s="63"/>
      <c r="J87" s="64">
        <v>0.73199999999999998</v>
      </c>
      <c r="K87" s="177"/>
      <c r="L87" s="177"/>
      <c r="M87" s="177"/>
      <c r="N87" s="177"/>
      <c r="O87" s="177"/>
      <c r="P87" s="181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s="91" customFormat="1" ht="13.5" customHeight="1" x14ac:dyDescent="0.25">
      <c r="A88" s="54"/>
      <c r="B88" s="192"/>
      <c r="C88" s="177"/>
      <c r="D88" s="177"/>
      <c r="E88" s="177"/>
      <c r="F88" s="60" t="s">
        <v>92</v>
      </c>
      <c r="G88" s="61">
        <f>+E82*0.6</f>
        <v>0</v>
      </c>
      <c r="H88" s="62"/>
      <c r="I88" s="63"/>
      <c r="J88" s="64">
        <v>0.76</v>
      </c>
      <c r="K88" s="177"/>
      <c r="L88" s="177"/>
      <c r="M88" s="177"/>
      <c r="N88" s="177"/>
      <c r="O88" s="177"/>
      <c r="P88" s="181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s="91" customFormat="1" ht="13.5" customHeight="1" x14ac:dyDescent="0.25">
      <c r="A89" s="54"/>
      <c r="B89" s="192"/>
      <c r="C89" s="177"/>
      <c r="D89" s="177"/>
      <c r="E89" s="177"/>
      <c r="F89" s="60" t="s">
        <v>93</v>
      </c>
      <c r="G89" s="61">
        <f>+E82*0.7</f>
        <v>0</v>
      </c>
      <c r="H89" s="62"/>
      <c r="I89" s="63"/>
      <c r="J89" s="64">
        <v>0.90300000000000002</v>
      </c>
      <c r="K89" s="177"/>
      <c r="L89" s="177"/>
      <c r="M89" s="177"/>
      <c r="N89" s="177"/>
      <c r="O89" s="177"/>
      <c r="P89" s="181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s="91" customFormat="1" ht="13.5" customHeight="1" x14ac:dyDescent="0.25">
      <c r="A90" s="54"/>
      <c r="B90" s="192"/>
      <c r="C90" s="177"/>
      <c r="D90" s="177"/>
      <c r="E90" s="177"/>
      <c r="F90" s="60" t="s">
        <v>94</v>
      </c>
      <c r="G90" s="61">
        <f>+E82*0.8</f>
        <v>0</v>
      </c>
      <c r="H90" s="62"/>
      <c r="I90" s="63"/>
      <c r="J90" s="64">
        <v>0.85099999999999998</v>
      </c>
      <c r="K90" s="177"/>
      <c r="L90" s="177"/>
      <c r="M90" s="177"/>
      <c r="N90" s="177"/>
      <c r="O90" s="177"/>
      <c r="P90" s="181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s="91" customFormat="1" ht="13.5" customHeight="1" x14ac:dyDescent="0.25">
      <c r="A91" s="54"/>
      <c r="B91" s="192"/>
      <c r="C91" s="177"/>
      <c r="D91" s="177"/>
      <c r="E91" s="177"/>
      <c r="F91" s="60" t="s">
        <v>95</v>
      </c>
      <c r="G91" s="61">
        <f>+E82*0.9</f>
        <v>0</v>
      </c>
      <c r="H91" s="62"/>
      <c r="I91" s="63"/>
      <c r="J91" s="64">
        <v>0.92</v>
      </c>
      <c r="K91" s="177"/>
      <c r="L91" s="177"/>
      <c r="M91" s="177"/>
      <c r="N91" s="177"/>
      <c r="O91" s="177"/>
      <c r="P91" s="181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s="91" customFormat="1" ht="15.75" thickBot="1" x14ac:dyDescent="0.3">
      <c r="A92" s="54"/>
      <c r="B92" s="193"/>
      <c r="C92" s="178"/>
      <c r="D92" s="178"/>
      <c r="E92" s="178"/>
      <c r="F92" s="65" t="s">
        <v>30</v>
      </c>
      <c r="G92" s="65">
        <f>+E82</f>
        <v>0</v>
      </c>
      <c r="H92" s="66"/>
      <c r="I92" s="67"/>
      <c r="J92" s="68">
        <v>0.95199999999999996</v>
      </c>
      <c r="K92" s="178"/>
      <c r="L92" s="178"/>
      <c r="M92" s="178"/>
      <c r="N92" s="178"/>
      <c r="O92" s="178"/>
      <c r="P92" s="182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s="3" customFormat="1" ht="12.75" x14ac:dyDescent="0.2">
      <c r="A93" s="8"/>
      <c r="B93" s="164" t="s">
        <v>103</v>
      </c>
      <c r="C93" s="164"/>
      <c r="D93" s="164"/>
      <c r="E93" s="164"/>
      <c r="F93" s="164"/>
      <c r="G93" s="164"/>
      <c r="H93" s="164"/>
      <c r="I93" s="164"/>
      <c r="J93" s="164"/>
      <c r="K93" s="13">
        <f>ROUND(+M93/L93,3)</f>
        <v>0.85899999999999999</v>
      </c>
      <c r="L93" s="12">
        <f>SUM(L19:L92)</f>
        <v>21.001000000000001</v>
      </c>
      <c r="M93" s="11">
        <f>SUM(M19:M92)</f>
        <v>18.048300000000001</v>
      </c>
      <c r="N93" s="9">
        <f>ROUND(SUM(N19:N92),0)</f>
        <v>100</v>
      </c>
      <c r="O93" s="166" t="s">
        <v>31</v>
      </c>
      <c r="P93" s="168"/>
    </row>
    <row r="94" spans="1:26" s="3" customFormat="1" ht="15" customHeight="1" thickBot="1" x14ac:dyDescent="0.25">
      <c r="A94" s="8"/>
      <c r="B94" s="165"/>
      <c r="C94" s="165"/>
      <c r="D94" s="165"/>
      <c r="E94" s="165"/>
      <c r="F94" s="165"/>
      <c r="G94" s="165"/>
      <c r="H94" s="165"/>
      <c r="I94" s="165"/>
      <c r="J94" s="165"/>
      <c r="K94" s="10" t="s">
        <v>32</v>
      </c>
      <c r="L94" s="10" t="s">
        <v>48</v>
      </c>
      <c r="M94" s="10" t="s">
        <v>100</v>
      </c>
      <c r="N94" s="10" t="s">
        <v>33</v>
      </c>
      <c r="O94" s="167"/>
      <c r="P94" s="169"/>
    </row>
    <row r="95" spans="1:26" ht="15" customHeight="1" thickBot="1" x14ac:dyDescent="0.3">
      <c r="A95" s="93"/>
      <c r="B95" s="170" t="s">
        <v>96</v>
      </c>
      <c r="C95" s="171"/>
      <c r="D95" s="171"/>
      <c r="E95" s="171"/>
      <c r="F95" s="172"/>
      <c r="G95" s="170" t="s">
        <v>97</v>
      </c>
      <c r="H95" s="171"/>
      <c r="I95" s="171"/>
      <c r="J95" s="171"/>
      <c r="K95" s="172"/>
      <c r="L95" s="173" t="s">
        <v>49</v>
      </c>
      <c r="M95" s="174"/>
      <c r="N95" s="174"/>
      <c r="O95" s="174"/>
      <c r="P95" s="175"/>
    </row>
    <row r="96" spans="1:26" ht="15" customHeight="1" x14ac:dyDescent="0.25">
      <c r="A96" s="93"/>
      <c r="B96" s="134"/>
      <c r="C96" s="135"/>
      <c r="D96" s="135"/>
      <c r="E96" s="135"/>
      <c r="F96" s="136"/>
      <c r="G96" s="134"/>
      <c r="H96" s="135"/>
      <c r="I96" s="135"/>
      <c r="J96" s="135"/>
      <c r="K96" s="136"/>
      <c r="L96" s="143" t="s">
        <v>98</v>
      </c>
      <c r="M96" s="144"/>
      <c r="N96" s="144"/>
      <c r="O96" s="145">
        <f>+AVERAGE(E18:E73)</f>
        <v>0.65974999999999995</v>
      </c>
      <c r="P96" s="146"/>
    </row>
    <row r="97" spans="1:16" ht="15" customHeight="1" thickBot="1" x14ac:dyDescent="0.3">
      <c r="A97" s="93"/>
      <c r="B97" s="137"/>
      <c r="C97" s="138"/>
      <c r="D97" s="138"/>
      <c r="E97" s="138"/>
      <c r="F97" s="139"/>
      <c r="G97" s="137"/>
      <c r="H97" s="138"/>
      <c r="I97" s="138"/>
      <c r="J97" s="138"/>
      <c r="K97" s="139"/>
      <c r="L97" s="147" t="s">
        <v>99</v>
      </c>
      <c r="M97" s="148"/>
      <c r="N97" s="148"/>
      <c r="O97" s="149">
        <f>MAX(E18:E73)</f>
        <v>0.91</v>
      </c>
      <c r="P97" s="150"/>
    </row>
    <row r="98" spans="1:16" ht="18.600000000000001" customHeight="1" x14ac:dyDescent="0.25">
      <c r="A98" s="94"/>
      <c r="B98" s="137"/>
      <c r="C98" s="138"/>
      <c r="D98" s="138"/>
      <c r="E98" s="138"/>
      <c r="F98" s="139"/>
      <c r="G98" s="137"/>
      <c r="H98" s="138"/>
      <c r="I98" s="138"/>
      <c r="J98" s="138"/>
      <c r="K98" s="139"/>
      <c r="L98" s="151"/>
      <c r="M98" s="152"/>
      <c r="N98" s="152"/>
      <c r="O98" s="152"/>
      <c r="P98" s="153"/>
    </row>
    <row r="99" spans="1:16" ht="42" customHeight="1" x14ac:dyDescent="0.25">
      <c r="A99" s="95"/>
      <c r="B99" s="137"/>
      <c r="C99" s="138"/>
      <c r="D99" s="138"/>
      <c r="E99" s="138"/>
      <c r="F99" s="139"/>
      <c r="G99" s="137"/>
      <c r="H99" s="138"/>
      <c r="I99" s="138"/>
      <c r="J99" s="138"/>
      <c r="K99" s="139"/>
      <c r="L99" s="154"/>
      <c r="M99" s="155"/>
      <c r="N99" s="155"/>
      <c r="O99" s="155"/>
      <c r="P99" s="156"/>
    </row>
    <row r="100" spans="1:16" ht="15" customHeight="1" thickBot="1" x14ac:dyDescent="0.3">
      <c r="A100" s="93"/>
      <c r="B100" s="137"/>
      <c r="C100" s="138"/>
      <c r="D100" s="138"/>
      <c r="E100" s="138"/>
      <c r="F100" s="139"/>
      <c r="G100" s="137"/>
      <c r="H100" s="138"/>
      <c r="I100" s="138"/>
      <c r="J100" s="138"/>
      <c r="K100" s="139"/>
      <c r="L100" s="157"/>
      <c r="M100" s="158"/>
      <c r="N100" s="158"/>
      <c r="O100" s="158"/>
      <c r="P100" s="159"/>
    </row>
    <row r="101" spans="1:16" ht="22.5" customHeight="1" thickBot="1" x14ac:dyDescent="0.3">
      <c r="A101" s="93"/>
      <c r="B101" s="137"/>
      <c r="C101" s="138"/>
      <c r="D101" s="138"/>
      <c r="E101" s="138"/>
      <c r="F101" s="139"/>
      <c r="G101" s="137"/>
      <c r="H101" s="138"/>
      <c r="I101" s="138"/>
      <c r="J101" s="138"/>
      <c r="K101" s="139"/>
      <c r="L101" s="160" t="s">
        <v>34</v>
      </c>
      <c r="M101" s="161"/>
      <c r="N101" s="161"/>
      <c r="O101" s="161"/>
      <c r="P101" s="90">
        <v>7.71</v>
      </c>
    </row>
    <row r="102" spans="1:16" ht="32.25" customHeight="1" thickBot="1" x14ac:dyDescent="0.3">
      <c r="A102" s="93"/>
      <c r="B102" s="140"/>
      <c r="C102" s="141"/>
      <c r="D102" s="141"/>
      <c r="E102" s="141"/>
      <c r="F102" s="142"/>
      <c r="G102" s="140"/>
      <c r="H102" s="141"/>
      <c r="I102" s="141"/>
      <c r="J102" s="141"/>
      <c r="K102" s="142"/>
      <c r="L102" s="162" t="s">
        <v>102</v>
      </c>
      <c r="M102" s="163"/>
      <c r="N102" s="163"/>
      <c r="O102" s="163"/>
      <c r="P102" s="90">
        <v>0.64170000000000005</v>
      </c>
    </row>
    <row r="103" spans="1:16" ht="23.45" customHeight="1" thickBot="1" x14ac:dyDescent="0.3">
      <c r="A103" s="5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</row>
    <row r="104" spans="1:16" ht="15.75" thickBot="1" x14ac:dyDescent="0.3">
      <c r="A104" s="117" t="s">
        <v>35</v>
      </c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9"/>
    </row>
    <row r="105" spans="1:16" ht="159" customHeight="1" thickBot="1" x14ac:dyDescent="0.3">
      <c r="A105" s="4"/>
      <c r="B105" s="120"/>
      <c r="C105" s="121"/>
      <c r="D105" s="121"/>
      <c r="E105" s="121"/>
      <c r="F105" s="122"/>
      <c r="G105" s="123"/>
      <c r="H105" s="124"/>
      <c r="I105" s="124"/>
      <c r="J105" s="124"/>
      <c r="K105" s="125"/>
      <c r="L105" s="123"/>
      <c r="M105" s="124"/>
      <c r="N105" s="124"/>
      <c r="O105" s="124"/>
      <c r="P105" s="126"/>
    </row>
    <row r="106" spans="1:16" ht="21.75" customHeight="1" thickBot="1" x14ac:dyDescent="0.3">
      <c r="A106" s="4"/>
      <c r="B106" s="127"/>
      <c r="C106" s="128"/>
      <c r="D106" s="128"/>
      <c r="E106" s="128"/>
      <c r="F106" s="129"/>
      <c r="G106" s="130"/>
      <c r="H106" s="131"/>
      <c r="I106" s="131"/>
      <c r="J106" s="131"/>
      <c r="K106" s="132"/>
      <c r="L106" s="130"/>
      <c r="M106" s="131"/>
      <c r="N106" s="131"/>
      <c r="O106" s="131"/>
      <c r="P106" s="133"/>
    </row>
    <row r="107" spans="1:16" s="7" customFormat="1" ht="16.899999999999999" customHeight="1" thickBot="1" x14ac:dyDescent="0.3">
      <c r="A107" s="6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10"/>
    </row>
    <row r="108" spans="1:16" s="3" customFormat="1" ht="15.75" customHeight="1" thickBot="1" x14ac:dyDescent="0.25">
      <c r="A108" s="111" t="s">
        <v>36</v>
      </c>
      <c r="B108" s="112"/>
      <c r="C108" s="113"/>
      <c r="D108" s="114"/>
      <c r="E108" s="114"/>
      <c r="F108" s="114"/>
      <c r="G108" s="114"/>
      <c r="H108" s="114"/>
      <c r="I108" s="114"/>
      <c r="J108" s="114" t="s">
        <v>37</v>
      </c>
      <c r="K108" s="114"/>
      <c r="L108" s="114"/>
      <c r="M108" s="114"/>
      <c r="N108" s="114"/>
      <c r="O108" s="114"/>
      <c r="P108" s="115"/>
    </row>
  </sheetData>
  <mergeCells count="21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9:M73"/>
    <mergeCell ref="N69:N73"/>
    <mergeCell ref="O69:O73"/>
    <mergeCell ref="P69:P73"/>
    <mergeCell ref="B74:B79"/>
    <mergeCell ref="C74:P79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C80:H80"/>
    <mergeCell ref="I80:I81"/>
    <mergeCell ref="K80:P80"/>
    <mergeCell ref="C81:H81"/>
    <mergeCell ref="K81:P81"/>
    <mergeCell ref="B82:B92"/>
    <mergeCell ref="C82:C86"/>
    <mergeCell ref="D82:D86"/>
    <mergeCell ref="E82:E92"/>
    <mergeCell ref="K82:K92"/>
    <mergeCell ref="B93:J94"/>
    <mergeCell ref="O93:O94"/>
    <mergeCell ref="P93:P94"/>
    <mergeCell ref="B95:F95"/>
    <mergeCell ref="G95:K95"/>
    <mergeCell ref="L95:P95"/>
    <mergeCell ref="L82:L92"/>
    <mergeCell ref="M82:M92"/>
    <mergeCell ref="N82:N92"/>
    <mergeCell ref="O82:O92"/>
    <mergeCell ref="P82:P92"/>
    <mergeCell ref="C87:C92"/>
    <mergeCell ref="D87:D92"/>
    <mergeCell ref="B96:F102"/>
    <mergeCell ref="G96:K102"/>
    <mergeCell ref="L96:N96"/>
    <mergeCell ref="O96:P96"/>
    <mergeCell ref="L97:N97"/>
    <mergeCell ref="O97:P97"/>
    <mergeCell ref="L98:P100"/>
    <mergeCell ref="L101:O101"/>
    <mergeCell ref="L102:O102"/>
    <mergeCell ref="B107:P107"/>
    <mergeCell ref="A108:C108"/>
    <mergeCell ref="D108:I108"/>
    <mergeCell ref="J108:K108"/>
    <mergeCell ref="L108:P108"/>
    <mergeCell ref="B103:P103"/>
    <mergeCell ref="A104:P104"/>
    <mergeCell ref="B105:F105"/>
    <mergeCell ref="G105:K105"/>
    <mergeCell ref="L105:P105"/>
    <mergeCell ref="B106:F106"/>
    <mergeCell ref="G106:K106"/>
    <mergeCell ref="L106:P10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4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4"/>
      <c r="B2" s="315"/>
      <c r="C2" s="316"/>
      <c r="D2" s="317"/>
      <c r="E2" s="318" t="s">
        <v>118</v>
      </c>
      <c r="F2" s="319"/>
      <c r="G2" s="319"/>
      <c r="H2" s="319"/>
      <c r="I2" s="319"/>
      <c r="J2" s="319"/>
      <c r="K2" s="319"/>
      <c r="L2" s="319"/>
      <c r="M2" s="319"/>
      <c r="N2" s="319"/>
      <c r="O2" s="320"/>
      <c r="P2" s="321"/>
    </row>
    <row r="3" spans="1:26" s="2" customFormat="1" ht="25.5" customHeight="1" thickBot="1" x14ac:dyDescent="0.3">
      <c r="A3" s="314"/>
      <c r="B3" s="322"/>
      <c r="C3" s="323"/>
      <c r="D3" s="324"/>
      <c r="E3" s="325"/>
      <c r="F3" s="326"/>
      <c r="G3" s="326"/>
      <c r="H3" s="326"/>
      <c r="I3" s="326"/>
      <c r="J3" s="326"/>
      <c r="K3" s="326"/>
      <c r="L3" s="326"/>
      <c r="M3" s="326"/>
      <c r="N3" s="326"/>
      <c r="O3" s="327"/>
      <c r="P3" s="328"/>
    </row>
    <row r="4" spans="1:26" s="91" customFormat="1" ht="11.25" customHeight="1" thickBot="1" x14ac:dyDescent="0.3">
      <c r="A4" s="15"/>
      <c r="B4" s="304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05">
        <v>43134</v>
      </c>
      <c r="D5" s="306"/>
      <c r="E5" s="70" t="s">
        <v>50</v>
      </c>
      <c r="F5" s="71">
        <v>2</v>
      </c>
      <c r="G5" s="72" t="s">
        <v>1</v>
      </c>
      <c r="H5" s="307" t="s">
        <v>119</v>
      </c>
      <c r="I5" s="308"/>
      <c r="J5" s="308"/>
      <c r="K5" s="308"/>
      <c r="L5" s="308"/>
      <c r="M5" s="308"/>
      <c r="N5" s="308"/>
      <c r="O5" s="308"/>
      <c r="P5" s="30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88" t="s">
        <v>2</v>
      </c>
      <c r="C6" s="289"/>
      <c r="D6" s="290" t="s">
        <v>110</v>
      </c>
      <c r="E6" s="291"/>
      <c r="F6" s="291"/>
      <c r="G6" s="291"/>
      <c r="H6" s="291"/>
      <c r="I6" s="292"/>
      <c r="J6" s="74" t="s">
        <v>3</v>
      </c>
      <c r="K6" s="293" t="s">
        <v>107</v>
      </c>
      <c r="L6" s="292"/>
      <c r="M6" s="293" t="s">
        <v>108</v>
      </c>
      <c r="N6" s="294"/>
      <c r="O6" s="75" t="s">
        <v>51</v>
      </c>
      <c r="P6" s="76">
        <v>731</v>
      </c>
    </row>
    <row r="7" spans="1:26" s="18" customFormat="1" ht="21.75" customHeight="1" x14ac:dyDescent="0.25">
      <c r="B7" s="295" t="s">
        <v>52</v>
      </c>
      <c r="C7" s="296" t="s">
        <v>53</v>
      </c>
      <c r="D7" s="266"/>
      <c r="E7" s="78"/>
      <c r="F7" s="297" t="s">
        <v>54</v>
      </c>
      <c r="G7" s="298"/>
      <c r="H7" s="298"/>
      <c r="I7" s="298"/>
      <c r="J7" s="299" t="s">
        <v>55</v>
      </c>
      <c r="K7" s="300"/>
      <c r="L7" s="300"/>
      <c r="M7" s="301"/>
      <c r="N7" s="302" t="s">
        <v>101</v>
      </c>
      <c r="O7" s="303"/>
      <c r="P7" s="79" t="s">
        <v>56</v>
      </c>
    </row>
    <row r="8" spans="1:26" s="18" customFormat="1" ht="21.75" customHeight="1" thickBot="1" x14ac:dyDescent="0.3">
      <c r="B8" s="240"/>
      <c r="C8" s="257" t="s">
        <v>57</v>
      </c>
      <c r="D8" s="256"/>
      <c r="E8" s="80" t="s">
        <v>4</v>
      </c>
      <c r="F8" s="267" t="s">
        <v>5</v>
      </c>
      <c r="G8" s="268"/>
      <c r="H8" s="268"/>
      <c r="I8" s="268"/>
      <c r="J8" s="269"/>
      <c r="K8" s="270"/>
      <c r="L8" s="270"/>
      <c r="M8" s="271"/>
      <c r="N8" s="272"/>
      <c r="O8" s="273"/>
      <c r="P8" s="81"/>
    </row>
    <row r="9" spans="1:26" s="18" customFormat="1" ht="21.75" customHeight="1" x14ac:dyDescent="0.25">
      <c r="B9" s="274" t="s">
        <v>6</v>
      </c>
      <c r="C9" s="277" t="s">
        <v>58</v>
      </c>
      <c r="D9" s="278" t="s">
        <v>59</v>
      </c>
      <c r="E9" s="263"/>
      <c r="F9" s="82"/>
      <c r="G9" s="279" t="s">
        <v>7</v>
      </c>
      <c r="H9" s="280" t="s">
        <v>8</v>
      </c>
      <c r="I9" s="266"/>
      <c r="J9" s="83"/>
      <c r="K9" s="277" t="s">
        <v>60</v>
      </c>
      <c r="L9" s="281" t="s">
        <v>109</v>
      </c>
      <c r="M9" s="282"/>
      <c r="N9" s="283"/>
      <c r="O9" s="283"/>
      <c r="P9" s="284"/>
    </row>
    <row r="10" spans="1:26" s="18" customFormat="1" ht="21.75" customHeight="1" thickBot="1" x14ac:dyDescent="0.3">
      <c r="B10" s="275"/>
      <c r="C10" s="220"/>
      <c r="D10" s="261" t="s">
        <v>61</v>
      </c>
      <c r="E10" s="256"/>
      <c r="F10" s="84"/>
      <c r="G10" s="220"/>
      <c r="H10" s="261" t="s">
        <v>9</v>
      </c>
      <c r="I10" s="256"/>
      <c r="J10" s="85" t="s">
        <v>4</v>
      </c>
      <c r="K10" s="220"/>
      <c r="L10" s="285"/>
      <c r="M10" s="286"/>
      <c r="N10" s="286"/>
      <c r="O10" s="286"/>
      <c r="P10" s="287"/>
    </row>
    <row r="11" spans="1:26" s="18" customFormat="1" ht="21.75" customHeight="1" x14ac:dyDescent="0.25">
      <c r="A11" s="16"/>
      <c r="B11" s="275"/>
      <c r="C11" s="262" t="s">
        <v>10</v>
      </c>
      <c r="D11" s="263"/>
      <c r="E11" s="86">
        <v>0.60416666666666663</v>
      </c>
      <c r="F11" s="264" t="s">
        <v>11</v>
      </c>
      <c r="G11" s="263"/>
      <c r="H11" s="87">
        <v>0.96</v>
      </c>
      <c r="I11" s="265" t="s">
        <v>12</v>
      </c>
      <c r="J11" s="266"/>
      <c r="K11" s="87">
        <v>24</v>
      </c>
      <c r="L11" s="262" t="s">
        <v>13</v>
      </c>
      <c r="M11" s="263"/>
      <c r="N11" s="88">
        <v>32.700000000000003</v>
      </c>
      <c r="O11" s="253" t="s">
        <v>62</v>
      </c>
      <c r="P11" s="254"/>
    </row>
    <row r="12" spans="1:26" s="18" customFormat="1" ht="21.75" customHeight="1" thickBot="1" x14ac:dyDescent="0.3">
      <c r="A12" s="16"/>
      <c r="B12" s="276"/>
      <c r="C12" s="255" t="s">
        <v>14</v>
      </c>
      <c r="D12" s="256"/>
      <c r="E12" s="86">
        <v>0.71250000000000002</v>
      </c>
      <c r="F12" s="257" t="s">
        <v>15</v>
      </c>
      <c r="G12" s="256"/>
      <c r="H12" s="87">
        <v>1</v>
      </c>
      <c r="I12" s="258" t="s">
        <v>16</v>
      </c>
      <c r="J12" s="256"/>
      <c r="K12" s="86">
        <v>0.60416666666666663</v>
      </c>
      <c r="L12" s="255" t="s">
        <v>17</v>
      </c>
      <c r="M12" s="256"/>
      <c r="N12" s="89">
        <v>2</v>
      </c>
      <c r="O12" s="259">
        <v>3.1</v>
      </c>
      <c r="P12" s="260"/>
    </row>
    <row r="13" spans="1:26" s="18" customFormat="1" ht="21.75" customHeight="1" x14ac:dyDescent="0.25">
      <c r="A13" s="16"/>
      <c r="B13" s="238" t="s">
        <v>18</v>
      </c>
      <c r="C13" s="241" t="s">
        <v>63</v>
      </c>
      <c r="D13" s="242"/>
      <c r="E13" s="242"/>
      <c r="F13" s="243" t="s">
        <v>64</v>
      </c>
      <c r="G13" s="242"/>
      <c r="H13" s="242"/>
      <c r="I13" s="242"/>
      <c r="J13" s="243" t="s">
        <v>65</v>
      </c>
      <c r="K13" s="242"/>
      <c r="L13" s="242"/>
      <c r="M13" s="242"/>
      <c r="N13" s="244" t="s">
        <v>66</v>
      </c>
      <c r="O13" s="242"/>
      <c r="P13" s="24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9"/>
      <c r="C14" s="246" t="s">
        <v>67</v>
      </c>
      <c r="D14" s="247"/>
      <c r="E14" s="247"/>
      <c r="F14" s="248" t="s">
        <v>68</v>
      </c>
      <c r="G14" s="247"/>
      <c r="H14" s="247"/>
      <c r="I14" s="247"/>
      <c r="J14" s="249" t="s">
        <v>69</v>
      </c>
      <c r="K14" s="247"/>
      <c r="L14" s="247"/>
      <c r="M14" s="247"/>
      <c r="N14" s="250"/>
      <c r="O14" s="235"/>
      <c r="P14" s="25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40"/>
      <c r="C15" s="252" t="s">
        <v>70</v>
      </c>
      <c r="D15" s="222"/>
      <c r="E15" s="222"/>
      <c r="F15" s="222" t="s">
        <v>71</v>
      </c>
      <c r="G15" s="223"/>
      <c r="H15" s="223"/>
      <c r="I15" s="223"/>
      <c r="J15" s="222" t="s">
        <v>72</v>
      </c>
      <c r="K15" s="223"/>
      <c r="L15" s="223"/>
      <c r="M15" s="223"/>
      <c r="N15" s="224"/>
      <c r="O15" s="225"/>
      <c r="P15" s="22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27" t="s">
        <v>19</v>
      </c>
      <c r="C16" s="229" t="s">
        <v>20</v>
      </c>
      <c r="D16" s="229" t="s">
        <v>40</v>
      </c>
      <c r="E16" s="231" t="s">
        <v>21</v>
      </c>
      <c r="F16" s="232" t="s">
        <v>41</v>
      </c>
      <c r="G16" s="233"/>
      <c r="H16" s="229" t="s">
        <v>73</v>
      </c>
      <c r="I16" s="23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28"/>
      <c r="C17" s="230"/>
      <c r="D17" s="230"/>
      <c r="E17" s="230"/>
      <c r="F17" s="234"/>
      <c r="G17" s="235"/>
      <c r="H17" s="230"/>
      <c r="I17" s="23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3.1</v>
      </c>
      <c r="D18" s="29">
        <v>0.39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18">
        <v>1</v>
      </c>
      <c r="C19" s="221">
        <f>+C18+$N$12</f>
        <v>5.0999999999999996</v>
      </c>
      <c r="D19" s="198">
        <v>0.34499999999999997</v>
      </c>
      <c r="E19" s="198">
        <v>0.37</v>
      </c>
      <c r="F19" s="36" t="s">
        <v>75</v>
      </c>
      <c r="G19" s="37">
        <v>0</v>
      </c>
      <c r="H19" s="38"/>
      <c r="I19" s="39"/>
      <c r="J19" s="40">
        <v>0.13100000000000001</v>
      </c>
      <c r="K19" s="198">
        <f>+IF(E19&lt;=0.12,(J21),(IF(E19&lt;0.16,((J20+2*J21+J22)/4),IF(E19&gt;=0.16,((J19+3*J20+2*J21+3*J22+J23)/10)))))</f>
        <v>0.25</v>
      </c>
      <c r="L19" s="198">
        <f>ROUND(+(D18+D19)/2*(C19-C18),3)</f>
        <v>0.73499999999999999</v>
      </c>
      <c r="M19" s="198">
        <f>ROUND(+K19*L19,4)</f>
        <v>0.18379999999999999</v>
      </c>
      <c r="N19" s="201">
        <f>ROUND(+M19/$M$118*100,2)</f>
        <v>2.94</v>
      </c>
      <c r="O19" s="202"/>
      <c r="P19" s="20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9"/>
      <c r="C20" s="199"/>
      <c r="D20" s="199"/>
      <c r="E20" s="199"/>
      <c r="F20" s="41" t="s">
        <v>76</v>
      </c>
      <c r="G20" s="42">
        <f>IF(E19&lt;0.125,"NA",IF(0.125&lt;=E19,(0.2*E19)))</f>
        <v>7.3999999999999996E-2</v>
      </c>
      <c r="H20" s="43"/>
      <c r="I20" s="44"/>
      <c r="J20" s="45">
        <v>0.23100000000000001</v>
      </c>
      <c r="K20" s="199"/>
      <c r="L20" s="199"/>
      <c r="M20" s="199"/>
      <c r="N20" s="199"/>
      <c r="O20" s="199"/>
      <c r="P20" s="20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9"/>
      <c r="C21" s="199"/>
      <c r="D21" s="199"/>
      <c r="E21" s="199"/>
      <c r="F21" s="41" t="s">
        <v>77</v>
      </c>
      <c r="G21" s="42">
        <f>+E19*0.4</f>
        <v>0.14799999999999999</v>
      </c>
      <c r="H21" s="43"/>
      <c r="I21" s="44"/>
      <c r="J21" s="45">
        <v>0.224</v>
      </c>
      <c r="K21" s="199"/>
      <c r="L21" s="199"/>
      <c r="M21" s="199"/>
      <c r="N21" s="199"/>
      <c r="O21" s="199"/>
      <c r="P21" s="20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9"/>
      <c r="C22" s="199"/>
      <c r="D22" s="199"/>
      <c r="E22" s="199"/>
      <c r="F22" s="41" t="s">
        <v>78</v>
      </c>
      <c r="G22" s="42">
        <f>IF(E19&lt;0.125,"NA",IF(0.125&lt;=E19,(0.8*E19)))</f>
        <v>0.29599999999999999</v>
      </c>
      <c r="H22" s="43"/>
      <c r="I22" s="44"/>
      <c r="J22" s="45">
        <v>0.30099999999999999</v>
      </c>
      <c r="K22" s="199"/>
      <c r="L22" s="199"/>
      <c r="M22" s="199"/>
      <c r="N22" s="199"/>
      <c r="O22" s="199"/>
      <c r="P22" s="20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20"/>
      <c r="C23" s="200"/>
      <c r="D23" s="200"/>
      <c r="E23" s="200"/>
      <c r="F23" s="46" t="s">
        <v>79</v>
      </c>
      <c r="G23" s="47">
        <f>+E19</f>
        <v>0.37</v>
      </c>
      <c r="H23" s="48"/>
      <c r="I23" s="49"/>
      <c r="J23" s="50">
        <v>0.32500000000000001</v>
      </c>
      <c r="K23" s="200"/>
      <c r="L23" s="200"/>
      <c r="M23" s="200"/>
      <c r="N23" s="200"/>
      <c r="O23" s="200"/>
      <c r="P23" s="20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18">
        <v>2</v>
      </c>
      <c r="C24" s="221">
        <f>+C19+$N$12</f>
        <v>7.1</v>
      </c>
      <c r="D24" s="198">
        <v>0.33</v>
      </c>
      <c r="E24" s="198">
        <v>0.32800000000000001</v>
      </c>
      <c r="F24" s="36" t="s">
        <v>75</v>
      </c>
      <c r="G24" s="37">
        <v>0</v>
      </c>
      <c r="H24" s="38"/>
      <c r="I24" s="39"/>
      <c r="J24" s="40">
        <v>0.22500000000000001</v>
      </c>
      <c r="K24" s="198">
        <f>+IF(E24&lt;=0.12,(J26),(IF(E24&lt;0.16,((J25+2*J26+J27)/I232),IF(E24&gt;=0.16,((J24+3*J25+2*J26+3*J27+J28)/10)))))</f>
        <v>0.47099999999999997</v>
      </c>
      <c r="L24" s="198">
        <f>ROUND(+(D19+D24)/2*(C24-C19),3)</f>
        <v>0.67500000000000004</v>
      </c>
      <c r="M24" s="198">
        <f>ROUND(+K24*L24,4)</f>
        <v>0.31790000000000002</v>
      </c>
      <c r="N24" s="201">
        <f>ROUND(+M24/$M$118*100,2)</f>
        <v>5.09</v>
      </c>
      <c r="O24" s="202"/>
      <c r="P24" s="20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9"/>
      <c r="C25" s="199"/>
      <c r="D25" s="199"/>
      <c r="E25" s="199"/>
      <c r="F25" s="41" t="s">
        <v>76</v>
      </c>
      <c r="G25" s="42">
        <f t="shared" ref="G25" si="0">IF(E24&lt;0.125,"NA",IF(0.125&lt;=E24,(0.2*E24)))</f>
        <v>6.5600000000000006E-2</v>
      </c>
      <c r="H25" s="43"/>
      <c r="I25" s="44"/>
      <c r="J25" s="45">
        <v>0.441</v>
      </c>
      <c r="K25" s="199"/>
      <c r="L25" s="199"/>
      <c r="M25" s="199"/>
      <c r="N25" s="199"/>
      <c r="O25" s="199"/>
      <c r="P25" s="20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9"/>
      <c r="C26" s="199"/>
      <c r="D26" s="199"/>
      <c r="E26" s="199"/>
      <c r="F26" s="41" t="s">
        <v>77</v>
      </c>
      <c r="G26" s="42">
        <f t="shared" ref="G26" si="1">+E24*0.4</f>
        <v>0.13120000000000001</v>
      </c>
      <c r="H26" s="43"/>
      <c r="I26" s="44"/>
      <c r="J26" s="45">
        <v>0.48099999999999998</v>
      </c>
      <c r="K26" s="199"/>
      <c r="L26" s="199"/>
      <c r="M26" s="199"/>
      <c r="N26" s="199"/>
      <c r="O26" s="199"/>
      <c r="P26" s="20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9"/>
      <c r="C27" s="199"/>
      <c r="D27" s="199"/>
      <c r="E27" s="199"/>
      <c r="F27" s="41" t="s">
        <v>78</v>
      </c>
      <c r="G27" s="42">
        <f t="shared" ref="G27" si="2">IF(E24&lt;0.125,"NA",IF(0.125&lt;=E24,(0.8*E24)))</f>
        <v>0.26240000000000002</v>
      </c>
      <c r="H27" s="43"/>
      <c r="I27" s="44"/>
      <c r="J27" s="45">
        <v>0.56100000000000005</v>
      </c>
      <c r="K27" s="199"/>
      <c r="L27" s="199"/>
      <c r="M27" s="199"/>
      <c r="N27" s="199"/>
      <c r="O27" s="199"/>
      <c r="P27" s="20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20"/>
      <c r="C28" s="200"/>
      <c r="D28" s="200"/>
      <c r="E28" s="200"/>
      <c r="F28" s="46" t="s">
        <v>79</v>
      </c>
      <c r="G28" s="47">
        <f t="shared" ref="G28" si="3">+E24</f>
        <v>0.32800000000000001</v>
      </c>
      <c r="H28" s="48"/>
      <c r="I28" s="49"/>
      <c r="J28" s="50">
        <v>0.51700000000000002</v>
      </c>
      <c r="K28" s="200"/>
      <c r="L28" s="200"/>
      <c r="M28" s="200"/>
      <c r="N28" s="200"/>
      <c r="O28" s="200"/>
      <c r="P28" s="20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18">
        <v>3</v>
      </c>
      <c r="C29" s="221">
        <f>+C24+$N$12</f>
        <v>9.1</v>
      </c>
      <c r="D29" s="198">
        <v>0.35</v>
      </c>
      <c r="E29" s="198">
        <v>0.30399999999999999</v>
      </c>
      <c r="F29" s="36" t="s">
        <v>75</v>
      </c>
      <c r="G29" s="37">
        <v>0</v>
      </c>
      <c r="H29" s="38"/>
      <c r="I29" s="39"/>
      <c r="J29" s="40">
        <v>0.36099999999999999</v>
      </c>
      <c r="K29" s="198">
        <f>+IF(E29&lt;=0.12,(J31),(IF(E29&lt;0.16,((J30+2*J31+J32)/I237),IF(E29&gt;=0.16,((J29+3*J30+2*J31+3*J32+J33)/10)))))</f>
        <v>0.5465000000000001</v>
      </c>
      <c r="L29" s="198">
        <f t="shared" ref="L29" si="4">ROUND(+(D24+D29)/2*(C29-C24),3)</f>
        <v>0.68</v>
      </c>
      <c r="M29" s="198">
        <f t="shared" ref="M29" si="5">ROUND(+K29*L29,4)</f>
        <v>0.37159999999999999</v>
      </c>
      <c r="N29" s="201">
        <f t="shared" ref="N29" si="6">ROUND(+M29/$M$118*100,2)</f>
        <v>5.95</v>
      </c>
      <c r="O29" s="202"/>
      <c r="P29" s="20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9"/>
      <c r="C30" s="199"/>
      <c r="D30" s="199"/>
      <c r="E30" s="199"/>
      <c r="F30" s="41" t="s">
        <v>76</v>
      </c>
      <c r="G30" s="42">
        <f t="shared" ref="G30" si="7">IF(E29&lt;0.125,"NA",IF(0.125&lt;=E29,(0.2*E29)))</f>
        <v>6.08E-2</v>
      </c>
      <c r="H30" s="43"/>
      <c r="I30" s="44"/>
      <c r="J30" s="45">
        <v>0.504</v>
      </c>
      <c r="K30" s="199"/>
      <c r="L30" s="199"/>
      <c r="M30" s="199"/>
      <c r="N30" s="199"/>
      <c r="O30" s="199"/>
      <c r="P30" s="20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9"/>
      <c r="C31" s="199"/>
      <c r="D31" s="199"/>
      <c r="E31" s="199"/>
      <c r="F31" s="41" t="s">
        <v>77</v>
      </c>
      <c r="G31" s="42">
        <f t="shared" ref="G31" si="8">+E29*0.4</f>
        <v>0.1216</v>
      </c>
      <c r="H31" s="43"/>
      <c r="I31" s="44"/>
      <c r="J31" s="45">
        <v>0.53500000000000003</v>
      </c>
      <c r="K31" s="199"/>
      <c r="L31" s="199"/>
      <c r="M31" s="199"/>
      <c r="N31" s="199"/>
      <c r="O31" s="199"/>
      <c r="P31" s="20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9"/>
      <c r="C32" s="199"/>
      <c r="D32" s="199"/>
      <c r="E32" s="199"/>
      <c r="F32" s="41" t="s">
        <v>78</v>
      </c>
      <c r="G32" s="42">
        <f t="shared" ref="G32" si="9">IF(E29&lt;0.125,"NA",IF(0.125&lt;=E29,(0.8*E29)))</f>
        <v>0.2432</v>
      </c>
      <c r="H32" s="43"/>
      <c r="I32" s="44"/>
      <c r="J32" s="45">
        <v>0.64900000000000002</v>
      </c>
      <c r="K32" s="199"/>
      <c r="L32" s="199"/>
      <c r="M32" s="199"/>
      <c r="N32" s="199"/>
      <c r="O32" s="199"/>
      <c r="P32" s="20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20"/>
      <c r="C33" s="200"/>
      <c r="D33" s="200"/>
      <c r="E33" s="200"/>
      <c r="F33" s="46" t="s">
        <v>79</v>
      </c>
      <c r="G33" s="47">
        <f t="shared" ref="G33" si="10">+E29</f>
        <v>0.30399999999999999</v>
      </c>
      <c r="H33" s="48"/>
      <c r="I33" s="49"/>
      <c r="J33" s="50">
        <v>0.57499999999999996</v>
      </c>
      <c r="K33" s="200"/>
      <c r="L33" s="200"/>
      <c r="M33" s="200"/>
      <c r="N33" s="200"/>
      <c r="O33" s="200"/>
      <c r="P33" s="20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18">
        <v>4</v>
      </c>
      <c r="C34" s="221">
        <f>+C29+$N$12</f>
        <v>11.1</v>
      </c>
      <c r="D34" s="198">
        <v>0.34499999999999997</v>
      </c>
      <c r="E34" s="198">
        <v>0.35899999999999999</v>
      </c>
      <c r="F34" s="36" t="s">
        <v>75</v>
      </c>
      <c r="G34" s="37">
        <v>0</v>
      </c>
      <c r="H34" s="38"/>
      <c r="I34" s="39"/>
      <c r="J34" s="40">
        <v>0.23200000000000001</v>
      </c>
      <c r="K34" s="198">
        <f>+IF(E34&lt;=0.12,(J36),(IF(E34&lt;0.16,((J35+2*J36+J37)/I242),IF(E34&gt;=0.16,((J34+3*J35+2*J36+3*J37+J38)/10)))))</f>
        <v>0.53720000000000001</v>
      </c>
      <c r="L34" s="198">
        <f t="shared" ref="L34" si="11">ROUND(+(D29+D34)/2*(C34-C29),3)</f>
        <v>0.69499999999999995</v>
      </c>
      <c r="M34" s="198">
        <f t="shared" ref="M34" si="12">ROUND(+K34*L34,4)</f>
        <v>0.37340000000000001</v>
      </c>
      <c r="N34" s="201">
        <f t="shared" ref="N34" si="13">ROUND(+M34/$M$118*100,2)</f>
        <v>5.98</v>
      </c>
      <c r="O34" s="202"/>
      <c r="P34" s="20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9"/>
      <c r="C35" s="199"/>
      <c r="D35" s="199"/>
      <c r="E35" s="199"/>
      <c r="F35" s="41" t="s">
        <v>76</v>
      </c>
      <c r="G35" s="42">
        <f t="shared" ref="G35" si="14">IF(E34&lt;0.125,"NA",IF(0.125&lt;=E34,(0.2*E34)))</f>
        <v>7.1800000000000003E-2</v>
      </c>
      <c r="H35" s="43"/>
      <c r="I35" s="44"/>
      <c r="J35" s="45">
        <v>0.378</v>
      </c>
      <c r="K35" s="199"/>
      <c r="L35" s="199"/>
      <c r="M35" s="199"/>
      <c r="N35" s="199"/>
      <c r="O35" s="199"/>
      <c r="P35" s="20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9"/>
      <c r="C36" s="199"/>
      <c r="D36" s="199"/>
      <c r="E36" s="199"/>
      <c r="F36" s="41" t="s">
        <v>77</v>
      </c>
      <c r="G36" s="42">
        <f t="shared" ref="G36" si="15">+E34*0.4</f>
        <v>0.14360000000000001</v>
      </c>
      <c r="H36" s="43"/>
      <c r="I36" s="44"/>
      <c r="J36" s="45">
        <v>0.50600000000000001</v>
      </c>
      <c r="K36" s="199"/>
      <c r="L36" s="199"/>
      <c r="M36" s="199"/>
      <c r="N36" s="199"/>
      <c r="O36" s="199"/>
      <c r="P36" s="20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9"/>
      <c r="C37" s="199"/>
      <c r="D37" s="199"/>
      <c r="E37" s="199"/>
      <c r="F37" s="41" t="s">
        <v>78</v>
      </c>
      <c r="G37" s="42">
        <f t="shared" ref="G37" si="16">IF(E34&lt;0.125,"NA",IF(0.125&lt;=E34,(0.8*E34)))</f>
        <v>0.28720000000000001</v>
      </c>
      <c r="H37" s="43"/>
      <c r="I37" s="44"/>
      <c r="J37" s="45">
        <v>0.751</v>
      </c>
      <c r="K37" s="199"/>
      <c r="L37" s="199"/>
      <c r="M37" s="199"/>
      <c r="N37" s="199"/>
      <c r="O37" s="199"/>
      <c r="P37" s="20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20"/>
      <c r="C38" s="200"/>
      <c r="D38" s="200"/>
      <c r="E38" s="200"/>
      <c r="F38" s="46" t="s">
        <v>79</v>
      </c>
      <c r="G38" s="47">
        <f t="shared" ref="G38" si="17">+E34</f>
        <v>0.35899999999999999</v>
      </c>
      <c r="H38" s="48"/>
      <c r="I38" s="49"/>
      <c r="J38" s="50">
        <v>0.74099999999999999</v>
      </c>
      <c r="K38" s="200"/>
      <c r="L38" s="200"/>
      <c r="M38" s="200"/>
      <c r="N38" s="200"/>
      <c r="O38" s="200"/>
      <c r="P38" s="20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18">
        <v>5</v>
      </c>
      <c r="C39" s="221">
        <f t="shared" ref="C39" si="18">+C34+$N$12</f>
        <v>13.1</v>
      </c>
      <c r="D39" s="198">
        <v>0.36499999999999999</v>
      </c>
      <c r="E39" s="198">
        <v>0.36499999999999999</v>
      </c>
      <c r="F39" s="36" t="s">
        <v>75</v>
      </c>
      <c r="G39" s="37">
        <v>0</v>
      </c>
      <c r="H39" s="38"/>
      <c r="I39" s="39"/>
      <c r="J39" s="40">
        <v>0.35099999999999998</v>
      </c>
      <c r="K39" s="198">
        <f>+IF(E39&lt;=0.12,(J41),(IF(E39&lt;0.16,((J40+2*J41+J42)/I247),IF(E39&gt;=0.16,((J39+3*J40+2*J41+3*J42+J43)/10)))))</f>
        <v>0.61899999999999999</v>
      </c>
      <c r="L39" s="198">
        <f t="shared" ref="L39" si="19">ROUND(+(D34+D39)/2*(C39-C34),3)</f>
        <v>0.71</v>
      </c>
      <c r="M39" s="198">
        <f t="shared" ref="M39" si="20">ROUND(+K39*L39,4)</f>
        <v>0.4395</v>
      </c>
      <c r="N39" s="201">
        <f t="shared" ref="N39" si="21">ROUND(+M39/$M$118*100,2)</f>
        <v>7.03</v>
      </c>
      <c r="O39" s="202"/>
      <c r="P39" s="20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9"/>
      <c r="C40" s="199"/>
      <c r="D40" s="199"/>
      <c r="E40" s="199"/>
      <c r="F40" s="41" t="s">
        <v>76</v>
      </c>
      <c r="G40" s="42">
        <f t="shared" ref="G40" si="22">IF(E39&lt;0.125,"NA",IF(0.125&lt;=E39,(0.2*E39)))</f>
        <v>7.2999999999999995E-2</v>
      </c>
      <c r="H40" s="43"/>
      <c r="I40" s="44"/>
      <c r="J40" s="45">
        <v>0.59499999999999997</v>
      </c>
      <c r="K40" s="199"/>
      <c r="L40" s="199"/>
      <c r="M40" s="199"/>
      <c r="N40" s="199"/>
      <c r="O40" s="199"/>
      <c r="P40" s="20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9"/>
      <c r="C41" s="199"/>
      <c r="D41" s="199"/>
      <c r="E41" s="199"/>
      <c r="F41" s="41" t="s">
        <v>77</v>
      </c>
      <c r="G41" s="42">
        <f t="shared" ref="G41" si="23">+E39*0.4</f>
        <v>0.14599999999999999</v>
      </c>
      <c r="H41" s="43"/>
      <c r="I41" s="44"/>
      <c r="J41" s="45">
        <v>0.60699999999999998</v>
      </c>
      <c r="K41" s="199"/>
      <c r="L41" s="199"/>
      <c r="M41" s="199"/>
      <c r="N41" s="199"/>
      <c r="O41" s="199"/>
      <c r="P41" s="20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9"/>
      <c r="C42" s="199"/>
      <c r="D42" s="199"/>
      <c r="E42" s="199"/>
      <c r="F42" s="41" t="s">
        <v>78</v>
      </c>
      <c r="G42" s="42">
        <f t="shared" ref="G42" si="24">IF(E39&lt;0.125,"NA",IF(0.125&lt;=E39,(0.8*E39)))</f>
        <v>0.29199999999999998</v>
      </c>
      <c r="H42" s="43"/>
      <c r="I42" s="44"/>
      <c r="J42" s="45">
        <v>0.69099999999999995</v>
      </c>
      <c r="K42" s="199"/>
      <c r="L42" s="199"/>
      <c r="M42" s="199"/>
      <c r="N42" s="199"/>
      <c r="O42" s="199"/>
      <c r="P42" s="20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20"/>
      <c r="C43" s="200"/>
      <c r="D43" s="200"/>
      <c r="E43" s="200"/>
      <c r="F43" s="46" t="s">
        <v>79</v>
      </c>
      <c r="G43" s="47">
        <f t="shared" ref="G43" si="25">+E39</f>
        <v>0.36499999999999999</v>
      </c>
      <c r="H43" s="48"/>
      <c r="I43" s="49"/>
      <c r="J43" s="50">
        <v>0.76700000000000002</v>
      </c>
      <c r="K43" s="200"/>
      <c r="L43" s="200"/>
      <c r="M43" s="200"/>
      <c r="N43" s="200"/>
      <c r="O43" s="200"/>
      <c r="P43" s="20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18">
        <v>6</v>
      </c>
      <c r="C44" s="221">
        <f t="shared" ref="C44" si="26">+C39+$N$12</f>
        <v>15.1</v>
      </c>
      <c r="D44" s="198">
        <v>0.36</v>
      </c>
      <c r="E44" s="198">
        <v>0.31</v>
      </c>
      <c r="F44" s="36" t="s">
        <v>75</v>
      </c>
      <c r="G44" s="37">
        <v>0</v>
      </c>
      <c r="H44" s="38"/>
      <c r="I44" s="39"/>
      <c r="J44" s="40">
        <v>0.51</v>
      </c>
      <c r="K44" s="198">
        <f>+IF(E44&lt;=0.12,(J46),(IF(E44&lt;0.16,((J45+2*J46+J47)/I252),IF(E44&gt;=0.16,((J44+3*J45+2*J46+3*J47+J48)/10)))))</f>
        <v>0.62779999999999991</v>
      </c>
      <c r="L44" s="198">
        <f t="shared" ref="L44" si="27">ROUND(+(D39+D44)/2*(C44-C39),3)</f>
        <v>0.72499999999999998</v>
      </c>
      <c r="M44" s="198">
        <f t="shared" ref="M44" si="28">ROUND(+K44*L44,4)</f>
        <v>0.45519999999999999</v>
      </c>
      <c r="N44" s="201">
        <f t="shared" ref="N44" si="29">ROUND(+M44/$M$118*100,2)</f>
        <v>7.29</v>
      </c>
      <c r="O44" s="202"/>
      <c r="P44" s="20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9"/>
      <c r="C45" s="199"/>
      <c r="D45" s="199"/>
      <c r="E45" s="199"/>
      <c r="F45" s="41" t="s">
        <v>76</v>
      </c>
      <c r="G45" s="42">
        <f t="shared" ref="G45" si="30">IF(E44&lt;0.125,"NA",IF(0.125&lt;=E44,(0.2*E44)))</f>
        <v>6.2E-2</v>
      </c>
      <c r="H45" s="43"/>
      <c r="I45" s="44"/>
      <c r="J45" s="45">
        <v>0.61899999999999999</v>
      </c>
      <c r="K45" s="199"/>
      <c r="L45" s="199"/>
      <c r="M45" s="199"/>
      <c r="N45" s="199"/>
      <c r="O45" s="199"/>
      <c r="P45" s="20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9"/>
      <c r="C46" s="199"/>
      <c r="D46" s="199"/>
      <c r="E46" s="199"/>
      <c r="F46" s="41" t="s">
        <v>77</v>
      </c>
      <c r="G46" s="42">
        <f t="shared" ref="G46" si="31">+E44*0.4</f>
        <v>0.124</v>
      </c>
      <c r="H46" s="43"/>
      <c r="I46" s="44"/>
      <c r="J46" s="45">
        <v>0.54100000000000004</v>
      </c>
      <c r="K46" s="199"/>
      <c r="L46" s="199"/>
      <c r="M46" s="199"/>
      <c r="N46" s="199"/>
      <c r="O46" s="199"/>
      <c r="P46" s="20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9"/>
      <c r="C47" s="199"/>
      <c r="D47" s="199"/>
      <c r="E47" s="199"/>
      <c r="F47" s="41" t="s">
        <v>78</v>
      </c>
      <c r="G47" s="42">
        <f t="shared" ref="G47" si="32">IF(E44&lt;0.125,"NA",IF(0.125&lt;=E44,(0.8*E44)))</f>
        <v>0.248</v>
      </c>
      <c r="H47" s="43"/>
      <c r="I47" s="44"/>
      <c r="J47" s="45">
        <v>0.69199999999999995</v>
      </c>
      <c r="K47" s="199"/>
      <c r="L47" s="199"/>
      <c r="M47" s="199"/>
      <c r="N47" s="199"/>
      <c r="O47" s="199"/>
      <c r="P47" s="20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20"/>
      <c r="C48" s="200"/>
      <c r="D48" s="200"/>
      <c r="E48" s="200"/>
      <c r="F48" s="46" t="s">
        <v>79</v>
      </c>
      <c r="G48" s="47">
        <f t="shared" ref="G48" si="33">+E44</f>
        <v>0.31</v>
      </c>
      <c r="H48" s="48"/>
      <c r="I48" s="49"/>
      <c r="J48" s="50">
        <v>0.753</v>
      </c>
      <c r="K48" s="200"/>
      <c r="L48" s="200"/>
      <c r="M48" s="200"/>
      <c r="N48" s="200"/>
      <c r="O48" s="200"/>
      <c r="P48" s="20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18">
        <v>7</v>
      </c>
      <c r="C49" s="221">
        <f t="shared" ref="C49" si="34">+C44+$N$12</f>
        <v>17.100000000000001</v>
      </c>
      <c r="D49" s="198">
        <v>0.36499999999999999</v>
      </c>
      <c r="E49" s="198">
        <v>0.37</v>
      </c>
      <c r="F49" s="36" t="s">
        <v>75</v>
      </c>
      <c r="G49" s="37">
        <v>0</v>
      </c>
      <c r="H49" s="38"/>
      <c r="I49" s="39"/>
      <c r="J49" s="40">
        <v>0.441</v>
      </c>
      <c r="K49" s="198">
        <f>+IF(E49&lt;=0.12,(J51),(IF(E49&lt;0.16,((J50+2*J51+J52)/I257),IF(E49&gt;=0.16,((J49+3*J50+2*J51+3*J52+J53)/10)))))</f>
        <v>0.51839999999999997</v>
      </c>
      <c r="L49" s="198">
        <f t="shared" ref="L49" si="35">ROUND(+(D44+D49)/2*(C49-C44),3)</f>
        <v>0.72499999999999998</v>
      </c>
      <c r="M49" s="198">
        <f t="shared" ref="M49" si="36">ROUND(+K49*L49,4)</f>
        <v>0.37580000000000002</v>
      </c>
      <c r="N49" s="201">
        <f t="shared" ref="N49" si="37">ROUND(+M49/$M$118*100,2)</f>
        <v>6.02</v>
      </c>
      <c r="O49" s="202"/>
      <c r="P49" s="20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9"/>
      <c r="C50" s="199"/>
      <c r="D50" s="199"/>
      <c r="E50" s="199"/>
      <c r="F50" s="41" t="s">
        <v>76</v>
      </c>
      <c r="G50" s="42">
        <f t="shared" ref="G50" si="38">IF(E49&lt;0.125,"NA",IF(0.125&lt;=E49,(0.2*E49)))</f>
        <v>7.3999999999999996E-2</v>
      </c>
      <c r="H50" s="43"/>
      <c r="I50" s="44"/>
      <c r="J50" s="45">
        <v>0.29599999999999999</v>
      </c>
      <c r="K50" s="199"/>
      <c r="L50" s="199"/>
      <c r="M50" s="199"/>
      <c r="N50" s="199"/>
      <c r="O50" s="199"/>
      <c r="P50" s="20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9"/>
      <c r="C51" s="199"/>
      <c r="D51" s="199"/>
      <c r="E51" s="199"/>
      <c r="F51" s="41" t="s">
        <v>77</v>
      </c>
      <c r="G51" s="42">
        <f t="shared" ref="G51" si="39">+E49*0.4</f>
        <v>0.14799999999999999</v>
      </c>
      <c r="H51" s="43"/>
      <c r="I51" s="44"/>
      <c r="J51" s="45">
        <v>0.67700000000000005</v>
      </c>
      <c r="K51" s="199"/>
      <c r="L51" s="199"/>
      <c r="M51" s="199"/>
      <c r="N51" s="199"/>
      <c r="O51" s="199"/>
      <c r="P51" s="20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9"/>
      <c r="C52" s="199"/>
      <c r="D52" s="199"/>
      <c r="E52" s="199"/>
      <c r="F52" s="41" t="s">
        <v>78</v>
      </c>
      <c r="G52" s="42">
        <f t="shared" ref="G52" si="40">IF(E49&lt;0.125,"NA",IF(0.125&lt;=E49,(0.8*E49)))</f>
        <v>0.29599999999999999</v>
      </c>
      <c r="H52" s="43"/>
      <c r="I52" s="44"/>
      <c r="J52" s="45">
        <v>0.60299999999999998</v>
      </c>
      <c r="K52" s="199"/>
      <c r="L52" s="199"/>
      <c r="M52" s="199"/>
      <c r="N52" s="199"/>
      <c r="O52" s="199"/>
      <c r="P52" s="20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20"/>
      <c r="C53" s="200"/>
      <c r="D53" s="200"/>
      <c r="E53" s="200"/>
      <c r="F53" s="46" t="s">
        <v>79</v>
      </c>
      <c r="G53" s="47">
        <f t="shared" ref="G53" si="41">+E49</f>
        <v>0.37</v>
      </c>
      <c r="H53" s="48"/>
      <c r="I53" s="49"/>
      <c r="J53" s="50">
        <v>0.69199999999999995</v>
      </c>
      <c r="K53" s="200"/>
      <c r="L53" s="200"/>
      <c r="M53" s="200"/>
      <c r="N53" s="200"/>
      <c r="O53" s="200"/>
      <c r="P53" s="20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18">
        <v>8</v>
      </c>
      <c r="C54" s="221">
        <f t="shared" ref="C54" si="42">+C49+$N$12</f>
        <v>19.100000000000001</v>
      </c>
      <c r="D54" s="198">
        <v>0.37</v>
      </c>
      <c r="E54" s="198">
        <v>0.39</v>
      </c>
      <c r="F54" s="36" t="s">
        <v>75</v>
      </c>
      <c r="G54" s="37">
        <v>0</v>
      </c>
      <c r="H54" s="38"/>
      <c r="I54" s="39"/>
      <c r="J54" s="40">
        <v>0.432</v>
      </c>
      <c r="K54" s="198">
        <f>+IF(E54&lt;=0.12,(J56),(IF(E54&lt;0.16,((J55+2*J56+J57)/I262),IF(E54&gt;=0.16,((J54+3*J55+2*J56+3*J57+J58)/10)))))</f>
        <v>0.7278</v>
      </c>
      <c r="L54" s="198">
        <f t="shared" ref="L54" si="43">ROUND(+(D49+D54)/2*(C54-C49),3)</f>
        <v>0.73499999999999999</v>
      </c>
      <c r="M54" s="198">
        <f t="shared" ref="M54" si="44">ROUND(+K54*L54,4)</f>
        <v>0.53490000000000004</v>
      </c>
      <c r="N54" s="201">
        <f t="shared" ref="N54" si="45">ROUND(+M54/$M$118*100,2)</f>
        <v>8.56</v>
      </c>
      <c r="O54" s="202"/>
      <c r="P54" s="20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9"/>
      <c r="C55" s="199"/>
      <c r="D55" s="199"/>
      <c r="E55" s="199"/>
      <c r="F55" s="41" t="s">
        <v>76</v>
      </c>
      <c r="G55" s="42">
        <f t="shared" ref="G55" si="46">IF(E54&lt;0.125,"NA",IF(0.125&lt;=E54,(0.2*E54)))</f>
        <v>7.8000000000000014E-2</v>
      </c>
      <c r="H55" s="43"/>
      <c r="I55" s="44"/>
      <c r="J55" s="45">
        <v>0.68</v>
      </c>
      <c r="K55" s="199"/>
      <c r="L55" s="199"/>
      <c r="M55" s="199"/>
      <c r="N55" s="199"/>
      <c r="O55" s="199"/>
      <c r="P55" s="20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9"/>
      <c r="C56" s="199"/>
      <c r="D56" s="199"/>
      <c r="E56" s="199"/>
      <c r="F56" s="41" t="s">
        <v>77</v>
      </c>
      <c r="G56" s="42">
        <f t="shared" ref="G56" si="47">+E54*0.4</f>
        <v>0.15600000000000003</v>
      </c>
      <c r="H56" s="43"/>
      <c r="I56" s="44"/>
      <c r="J56" s="45">
        <v>0.75600000000000001</v>
      </c>
      <c r="K56" s="199"/>
      <c r="L56" s="199"/>
      <c r="M56" s="199"/>
      <c r="N56" s="199"/>
      <c r="O56" s="199"/>
      <c r="P56" s="20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9"/>
      <c r="C57" s="199"/>
      <c r="D57" s="199"/>
      <c r="E57" s="199"/>
      <c r="F57" s="41" t="s">
        <v>78</v>
      </c>
      <c r="G57" s="42">
        <f>H58</f>
        <v>0</v>
      </c>
      <c r="H57" s="43"/>
      <c r="I57" s="44"/>
      <c r="J57" s="45">
        <v>0.84899999999999998</v>
      </c>
      <c r="K57" s="199"/>
      <c r="L57" s="199"/>
      <c r="M57" s="199"/>
      <c r="N57" s="199"/>
      <c r="O57" s="199"/>
      <c r="P57" s="20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20"/>
      <c r="C58" s="200"/>
      <c r="D58" s="200"/>
      <c r="E58" s="200"/>
      <c r="F58" s="46" t="s">
        <v>79</v>
      </c>
      <c r="G58" s="47">
        <f t="shared" ref="G58" si="48">+E54</f>
        <v>0.39</v>
      </c>
      <c r="H58" s="48"/>
      <c r="I58" s="49"/>
      <c r="J58" s="50">
        <v>0.747</v>
      </c>
      <c r="K58" s="200"/>
      <c r="L58" s="200"/>
      <c r="M58" s="200"/>
      <c r="N58" s="200"/>
      <c r="O58" s="200"/>
      <c r="P58" s="20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18">
        <v>9</v>
      </c>
      <c r="C59" s="221">
        <f t="shared" ref="C59" si="49">+C54+$N$12</f>
        <v>21.1</v>
      </c>
      <c r="D59" s="198">
        <v>0.45</v>
      </c>
      <c r="E59" s="198">
        <v>0.41499999999999998</v>
      </c>
      <c r="F59" s="36" t="s">
        <v>75</v>
      </c>
      <c r="G59" s="37">
        <v>0</v>
      </c>
      <c r="H59" s="38"/>
      <c r="I59" s="39"/>
      <c r="J59" s="40">
        <v>0.33700000000000002</v>
      </c>
      <c r="K59" s="198">
        <f>+IF(E59&lt;=0.12,(J61),(IF(E59&lt;0.16,((J60+2*J61+J62)/I267),IF(E59&gt;=0.16,((J59+3*J60+2*J61+3*J62+J63)/10)))))</f>
        <v>0.52270000000000005</v>
      </c>
      <c r="L59" s="198">
        <f t="shared" ref="L59" si="50">ROUND(+(D54+D59)/2*(C59-C54),3)</f>
        <v>0.82</v>
      </c>
      <c r="M59" s="198">
        <f t="shared" ref="M59" si="51">ROUND(+K59*L59,4)</f>
        <v>0.42859999999999998</v>
      </c>
      <c r="N59" s="201">
        <f t="shared" ref="N59" si="52">ROUND(+M59/$M$118*100,2)</f>
        <v>6.86</v>
      </c>
      <c r="O59" s="202"/>
      <c r="P59" s="20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9"/>
      <c r="C60" s="199"/>
      <c r="D60" s="199"/>
      <c r="E60" s="199"/>
      <c r="F60" s="41" t="s">
        <v>76</v>
      </c>
      <c r="G60" s="42">
        <f t="shared" ref="G60" si="53">IF(E59&lt;0.125,"NA",IF(0.125&lt;=E59,(0.2*E59)))</f>
        <v>8.3000000000000004E-2</v>
      </c>
      <c r="H60" s="43"/>
      <c r="I60" s="44"/>
      <c r="J60" s="45">
        <v>0.379</v>
      </c>
      <c r="K60" s="199"/>
      <c r="L60" s="199"/>
      <c r="M60" s="199"/>
      <c r="N60" s="199"/>
      <c r="O60" s="199"/>
      <c r="P60" s="20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9"/>
      <c r="C61" s="199"/>
      <c r="D61" s="199"/>
      <c r="E61" s="199"/>
      <c r="F61" s="41" t="s">
        <v>77</v>
      </c>
      <c r="G61" s="42">
        <f t="shared" ref="G61" si="54">+E59*0.4</f>
        <v>0.16600000000000001</v>
      </c>
      <c r="H61" s="43"/>
      <c r="I61" s="44"/>
      <c r="J61" s="45">
        <v>0.44700000000000001</v>
      </c>
      <c r="K61" s="199"/>
      <c r="L61" s="199"/>
      <c r="M61" s="199"/>
      <c r="N61" s="199"/>
      <c r="O61" s="199"/>
      <c r="P61" s="20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9"/>
      <c r="C62" s="199"/>
      <c r="D62" s="199"/>
      <c r="E62" s="199"/>
      <c r="F62" s="41" t="s">
        <v>78</v>
      </c>
      <c r="G62" s="42">
        <f>H63</f>
        <v>0</v>
      </c>
      <c r="H62" s="43"/>
      <c r="I62" s="44"/>
      <c r="J62" s="45">
        <v>0.73399999999999999</v>
      </c>
      <c r="K62" s="199"/>
      <c r="L62" s="199"/>
      <c r="M62" s="199"/>
      <c r="N62" s="199"/>
      <c r="O62" s="199"/>
      <c r="P62" s="20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20"/>
      <c r="C63" s="200"/>
      <c r="D63" s="200"/>
      <c r="E63" s="200"/>
      <c r="F63" s="46" t="s">
        <v>79</v>
      </c>
      <c r="G63" s="47">
        <f t="shared" ref="G63" si="55">+E59</f>
        <v>0.41499999999999998</v>
      </c>
      <c r="H63" s="48"/>
      <c r="I63" s="49"/>
      <c r="J63" s="50">
        <v>0.65700000000000003</v>
      </c>
      <c r="K63" s="200"/>
      <c r="L63" s="200"/>
      <c r="M63" s="200"/>
      <c r="N63" s="200"/>
      <c r="O63" s="200"/>
      <c r="P63" s="20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18">
        <v>10</v>
      </c>
      <c r="C64" s="221">
        <f t="shared" ref="C64" si="56">+C59+$N$12</f>
        <v>23.1</v>
      </c>
      <c r="D64" s="198">
        <v>0.35</v>
      </c>
      <c r="E64" s="198">
        <v>0.44</v>
      </c>
      <c r="F64" s="36" t="s">
        <v>75</v>
      </c>
      <c r="G64" s="37">
        <v>0</v>
      </c>
      <c r="H64" s="38"/>
      <c r="I64" s="39"/>
      <c r="J64" s="40">
        <v>0.47099999999999997</v>
      </c>
      <c r="K64" s="198">
        <f>+IF(E64&lt;=0.12,(J66),(IF(E64&lt;0.16,((J65+2*J66+J67)/I272),IF(E64&gt;=0.16,((J64+3*J65+2*J66+3*J67+J68)/10)))))</f>
        <v>0.66159999999999997</v>
      </c>
      <c r="L64" s="198">
        <f t="shared" ref="L64" si="57">ROUND(+(D59+D64)/2*(C64-C59),3)</f>
        <v>0.8</v>
      </c>
      <c r="M64" s="198">
        <f t="shared" ref="M64" si="58">ROUND(+K64*L64,4)</f>
        <v>0.52929999999999999</v>
      </c>
      <c r="N64" s="201">
        <f t="shared" ref="N64" si="59">ROUND(+M64/$M$118*100,2)</f>
        <v>8.4700000000000006</v>
      </c>
      <c r="O64" s="202"/>
      <c r="P64" s="20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9"/>
      <c r="C65" s="199"/>
      <c r="D65" s="199"/>
      <c r="E65" s="199"/>
      <c r="F65" s="41" t="s">
        <v>76</v>
      </c>
      <c r="G65" s="42">
        <f t="shared" ref="G65" si="60">IF(E64&lt;0.125,"NA",IF(0.125&lt;=E64,(0.2*E64)))</f>
        <v>8.8000000000000009E-2</v>
      </c>
      <c r="H65" s="43"/>
      <c r="I65" s="44"/>
      <c r="J65" s="45">
        <v>0.61699999999999999</v>
      </c>
      <c r="K65" s="199"/>
      <c r="L65" s="199"/>
      <c r="M65" s="199"/>
      <c r="N65" s="199"/>
      <c r="O65" s="199"/>
      <c r="P65" s="20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9"/>
      <c r="C66" s="199"/>
      <c r="D66" s="199"/>
      <c r="E66" s="199"/>
      <c r="F66" s="41" t="s">
        <v>77</v>
      </c>
      <c r="G66" s="42">
        <f t="shared" ref="G66" si="61">+E64*0.4</f>
        <v>0.17600000000000002</v>
      </c>
      <c r="H66" s="43"/>
      <c r="I66" s="44"/>
      <c r="J66" s="45">
        <v>0.66400000000000003</v>
      </c>
      <c r="K66" s="199"/>
      <c r="L66" s="199"/>
      <c r="M66" s="199"/>
      <c r="N66" s="199"/>
      <c r="O66" s="199"/>
      <c r="P66" s="20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9"/>
      <c r="C67" s="199"/>
      <c r="D67" s="199"/>
      <c r="E67" s="199"/>
      <c r="F67" s="41" t="s">
        <v>78</v>
      </c>
      <c r="G67" s="42">
        <f t="shared" ref="G67" si="62">IF(E64&lt;0.125,"NA",IF(0.125&lt;=E64,(0.8*E64)))</f>
        <v>0.35200000000000004</v>
      </c>
      <c r="H67" s="43"/>
      <c r="I67" s="44"/>
      <c r="J67" s="45">
        <v>0.75600000000000001</v>
      </c>
      <c r="K67" s="199"/>
      <c r="L67" s="199"/>
      <c r="M67" s="199"/>
      <c r="N67" s="199"/>
      <c r="O67" s="199"/>
      <c r="P67" s="20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20"/>
      <c r="C68" s="200"/>
      <c r="D68" s="200"/>
      <c r="E68" s="200"/>
      <c r="F68" s="46" t="s">
        <v>79</v>
      </c>
      <c r="G68" s="47">
        <f t="shared" ref="G68" si="63">+E64</f>
        <v>0.44</v>
      </c>
      <c r="H68" s="48"/>
      <c r="I68" s="49"/>
      <c r="J68" s="50">
        <v>0.69799999999999995</v>
      </c>
      <c r="K68" s="200"/>
      <c r="L68" s="200"/>
      <c r="M68" s="200"/>
      <c r="N68" s="200"/>
      <c r="O68" s="200"/>
      <c r="P68" s="20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18">
        <v>11</v>
      </c>
      <c r="C69" s="221">
        <f t="shared" ref="C69" si="64">+C64+$N$12</f>
        <v>25.1</v>
      </c>
      <c r="D69" s="198">
        <v>0.435</v>
      </c>
      <c r="E69" s="198">
        <v>0.48</v>
      </c>
      <c r="F69" s="36" t="s">
        <v>75</v>
      </c>
      <c r="G69" s="37">
        <v>0</v>
      </c>
      <c r="H69" s="38"/>
      <c r="I69" s="39"/>
      <c r="J69" s="40">
        <v>0.39800000000000002</v>
      </c>
      <c r="K69" s="198">
        <f>+IF(E69&lt;=0.12,(J71),(IF(E69&lt;0.16,((J70+2*J71+J72)/I277),IF(E69&gt;=0.16,((J69+3*J70+2*J71+3*J72+J73)/10)))))</f>
        <v>0.6130000000000001</v>
      </c>
      <c r="L69" s="198">
        <f t="shared" ref="L69" si="65">ROUND(+(D64+D69)/2*(C69-C64),3)</f>
        <v>0.78500000000000003</v>
      </c>
      <c r="M69" s="198">
        <f t="shared" ref="M69" si="66">ROUND(+K69*L69,4)</f>
        <v>0.48120000000000002</v>
      </c>
      <c r="N69" s="201">
        <f t="shared" ref="N69" si="67">ROUND(+M69/$M$118*100,2)</f>
        <v>7.7</v>
      </c>
      <c r="O69" s="202"/>
      <c r="P69" s="20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9"/>
      <c r="C70" s="199"/>
      <c r="D70" s="199"/>
      <c r="E70" s="199"/>
      <c r="F70" s="41" t="s">
        <v>76</v>
      </c>
      <c r="G70" s="42">
        <f t="shared" ref="G70" si="68">IF(E69&lt;0.125,"NA",IF(0.125&lt;=E69,(0.2*E69)))</f>
        <v>9.6000000000000002E-2</v>
      </c>
      <c r="H70" s="43"/>
      <c r="I70" s="44"/>
      <c r="J70" s="45">
        <v>0.58599999999999997</v>
      </c>
      <c r="K70" s="199"/>
      <c r="L70" s="199"/>
      <c r="M70" s="199"/>
      <c r="N70" s="199"/>
      <c r="O70" s="199"/>
      <c r="P70" s="20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9"/>
      <c r="C71" s="199"/>
      <c r="D71" s="199"/>
      <c r="E71" s="199"/>
      <c r="F71" s="41" t="s">
        <v>77</v>
      </c>
      <c r="G71" s="42">
        <f t="shared" ref="G71" si="69">+E69*0.4</f>
        <v>0.192</v>
      </c>
      <c r="H71" s="43"/>
      <c r="I71" s="44"/>
      <c r="J71" s="45">
        <v>0.64600000000000002</v>
      </c>
      <c r="K71" s="199"/>
      <c r="L71" s="199"/>
      <c r="M71" s="199"/>
      <c r="N71" s="199"/>
      <c r="O71" s="199"/>
      <c r="P71" s="20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9"/>
      <c r="C72" s="199"/>
      <c r="D72" s="199"/>
      <c r="E72" s="199"/>
      <c r="F72" s="41" t="s">
        <v>78</v>
      </c>
      <c r="G72" s="42">
        <f t="shared" ref="G72" si="70">IF(E69&lt;0.125,"NA",IF(0.125&lt;=E69,(0.8*E69)))</f>
        <v>0.38400000000000001</v>
      </c>
      <c r="H72" s="43"/>
      <c r="I72" s="44"/>
      <c r="J72" s="45">
        <v>0.66100000000000003</v>
      </c>
      <c r="K72" s="199"/>
      <c r="L72" s="199"/>
      <c r="M72" s="199"/>
      <c r="N72" s="199"/>
      <c r="O72" s="199"/>
      <c r="P72" s="20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20"/>
      <c r="C73" s="200"/>
      <c r="D73" s="200"/>
      <c r="E73" s="200"/>
      <c r="F73" s="46" t="s">
        <v>79</v>
      </c>
      <c r="G73" s="47">
        <f t="shared" ref="G73" si="71">+E69</f>
        <v>0.48</v>
      </c>
      <c r="H73" s="48"/>
      <c r="I73" s="49"/>
      <c r="J73" s="50">
        <v>0.69899999999999995</v>
      </c>
      <c r="K73" s="200"/>
      <c r="L73" s="200"/>
      <c r="M73" s="200"/>
      <c r="N73" s="200"/>
      <c r="O73" s="200"/>
      <c r="P73" s="20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18">
        <v>12</v>
      </c>
      <c r="C74" s="221">
        <f t="shared" ref="C74" si="72">+C69+$N$12</f>
        <v>27.1</v>
      </c>
      <c r="D74" s="198">
        <v>0.495</v>
      </c>
      <c r="E74" s="198">
        <v>0.56499999999999995</v>
      </c>
      <c r="F74" s="36" t="s">
        <v>75</v>
      </c>
      <c r="G74" s="37">
        <v>0</v>
      </c>
      <c r="H74" s="38"/>
      <c r="I74" s="39"/>
      <c r="J74" s="40">
        <v>0.20399999999999999</v>
      </c>
      <c r="K74" s="198">
        <f>+IF(E74&lt;=0.12,(J76),(IF(E74&lt;0.16,((J75+2*J76+J77)/I282),IF(E74&gt;=0.16,((J74+3*J75+2*J76+3*J77+J78)/10)))))</f>
        <v>0.5897</v>
      </c>
      <c r="L74" s="198">
        <f t="shared" ref="L74" si="73">ROUND(+(D69+D74)/2*(C74-C69),3)</f>
        <v>0.93</v>
      </c>
      <c r="M74" s="198">
        <f t="shared" ref="M74" si="74">ROUND(+K74*L74,4)</f>
        <v>0.5484</v>
      </c>
      <c r="N74" s="201">
        <f t="shared" ref="N74" si="75">ROUND(+M74/$M$118*100,2)</f>
        <v>8.7799999999999994</v>
      </c>
      <c r="O74" s="202"/>
      <c r="P74" s="20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9"/>
      <c r="C75" s="199"/>
      <c r="D75" s="199"/>
      <c r="E75" s="199"/>
      <c r="F75" s="41" t="s">
        <v>76</v>
      </c>
      <c r="G75" s="42">
        <f t="shared" ref="G75" si="76">IF(E74&lt;0.125,"NA",IF(0.125&lt;=E74,(0.2*E74)))</f>
        <v>0.11299999999999999</v>
      </c>
      <c r="H75" s="43"/>
      <c r="I75" s="44"/>
      <c r="J75" s="45">
        <v>0.54200000000000004</v>
      </c>
      <c r="K75" s="199"/>
      <c r="L75" s="199"/>
      <c r="M75" s="199"/>
      <c r="N75" s="199"/>
      <c r="O75" s="199"/>
      <c r="P75" s="20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9"/>
      <c r="C76" s="199"/>
      <c r="D76" s="199"/>
      <c r="E76" s="199"/>
      <c r="F76" s="41" t="s">
        <v>77</v>
      </c>
      <c r="G76" s="42">
        <f t="shared" ref="G76" si="77">+E74*0.4</f>
        <v>0.22599999999999998</v>
      </c>
      <c r="H76" s="43"/>
      <c r="I76" s="44"/>
      <c r="J76" s="45">
        <v>0.66900000000000004</v>
      </c>
      <c r="K76" s="199"/>
      <c r="L76" s="199"/>
      <c r="M76" s="199"/>
      <c r="N76" s="199"/>
      <c r="O76" s="199"/>
      <c r="P76" s="20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9"/>
      <c r="C77" s="199"/>
      <c r="D77" s="199"/>
      <c r="E77" s="199"/>
      <c r="F77" s="41" t="s">
        <v>78</v>
      </c>
      <c r="G77" s="42">
        <f t="shared" ref="G77" si="78">IF(E74&lt;0.125,"NA",IF(0.125&lt;=E74,(0.8*E74)))</f>
        <v>0.45199999999999996</v>
      </c>
      <c r="H77" s="43"/>
      <c r="I77" s="44"/>
      <c r="J77" s="45">
        <v>0.68700000000000006</v>
      </c>
      <c r="K77" s="199"/>
      <c r="L77" s="199"/>
      <c r="M77" s="199"/>
      <c r="N77" s="199"/>
      <c r="O77" s="199"/>
      <c r="P77" s="20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20"/>
      <c r="C78" s="200"/>
      <c r="D78" s="200"/>
      <c r="E78" s="200"/>
      <c r="F78" s="46" t="s">
        <v>79</v>
      </c>
      <c r="G78" s="47">
        <f t="shared" ref="G78" si="79">+E74</f>
        <v>0.56499999999999995</v>
      </c>
      <c r="H78" s="48"/>
      <c r="I78" s="49"/>
      <c r="J78" s="50">
        <v>0.66800000000000004</v>
      </c>
      <c r="K78" s="200"/>
      <c r="L78" s="200"/>
      <c r="M78" s="200"/>
      <c r="N78" s="200"/>
      <c r="O78" s="200"/>
      <c r="P78" s="20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18">
        <v>13</v>
      </c>
      <c r="C79" s="221">
        <f t="shared" ref="C79" si="80">+C74+$N$12</f>
        <v>29.1</v>
      </c>
      <c r="D79" s="198">
        <v>0.60499999999999998</v>
      </c>
      <c r="E79" s="198">
        <v>0.62</v>
      </c>
      <c r="F79" s="36" t="s">
        <v>75</v>
      </c>
      <c r="G79" s="37">
        <v>0</v>
      </c>
      <c r="H79" s="38"/>
      <c r="I79" s="39"/>
      <c r="J79" s="40"/>
      <c r="K79" s="198"/>
      <c r="L79" s="198"/>
      <c r="M79" s="198"/>
      <c r="N79" s="201"/>
      <c r="O79" s="202"/>
      <c r="P79" s="20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9"/>
      <c r="C80" s="199"/>
      <c r="D80" s="199"/>
      <c r="E80" s="199"/>
      <c r="F80" s="41" t="s">
        <v>76</v>
      </c>
      <c r="G80" s="42">
        <f t="shared" ref="G80" si="81">IF(E79&lt;0.125,"NA",IF(0.125&lt;=E79,(0.2*E79)))</f>
        <v>0.124</v>
      </c>
      <c r="H80" s="43"/>
      <c r="I80" s="44"/>
      <c r="J80" s="45"/>
      <c r="K80" s="199"/>
      <c r="L80" s="199"/>
      <c r="M80" s="199"/>
      <c r="N80" s="199"/>
      <c r="O80" s="199"/>
      <c r="P80" s="20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9"/>
      <c r="C81" s="199"/>
      <c r="D81" s="199"/>
      <c r="E81" s="199"/>
      <c r="F81" s="41" t="s">
        <v>77</v>
      </c>
      <c r="G81" s="42">
        <f t="shared" ref="G81" si="82">+E79*0.4</f>
        <v>0.248</v>
      </c>
      <c r="H81" s="43"/>
      <c r="I81" s="44"/>
      <c r="J81" s="45"/>
      <c r="K81" s="199"/>
      <c r="L81" s="199"/>
      <c r="M81" s="199"/>
      <c r="N81" s="199"/>
      <c r="O81" s="199"/>
      <c r="P81" s="20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9"/>
      <c r="C82" s="199"/>
      <c r="D82" s="199"/>
      <c r="E82" s="199"/>
      <c r="F82" s="41" t="s">
        <v>78</v>
      </c>
      <c r="G82" s="42">
        <f>IF(E79&lt;0.125,"NA",IF(0.125&lt;=E79,(0.8*E79)))</f>
        <v>0.496</v>
      </c>
      <c r="H82" s="43"/>
      <c r="I82" s="44"/>
      <c r="J82" s="45"/>
      <c r="K82" s="199"/>
      <c r="L82" s="199"/>
      <c r="M82" s="199"/>
      <c r="N82" s="199"/>
      <c r="O82" s="199"/>
      <c r="P82" s="20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20"/>
      <c r="C83" s="200"/>
      <c r="D83" s="200"/>
      <c r="E83" s="200"/>
      <c r="F83" s="46" t="s">
        <v>79</v>
      </c>
      <c r="G83" s="47">
        <f>+E79</f>
        <v>0.62</v>
      </c>
      <c r="H83" s="48"/>
      <c r="I83" s="49"/>
      <c r="J83" s="50"/>
      <c r="K83" s="200"/>
      <c r="L83" s="200"/>
      <c r="M83" s="200"/>
      <c r="N83" s="200"/>
      <c r="O83" s="200"/>
      <c r="P83" s="20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18">
        <v>14</v>
      </c>
      <c r="C84" s="221">
        <f t="shared" ref="C84" si="83">+C79+$N$12</f>
        <v>31.1</v>
      </c>
      <c r="D84" s="198">
        <v>0.625</v>
      </c>
      <c r="E84" s="198">
        <v>0.44500000000000001</v>
      </c>
      <c r="F84" s="36" t="s">
        <v>75</v>
      </c>
      <c r="G84" s="37">
        <v>0</v>
      </c>
      <c r="H84" s="38"/>
      <c r="I84" s="39"/>
      <c r="J84" s="40">
        <v>0.19500000000000001</v>
      </c>
      <c r="K84" s="198">
        <f>+IF(E84&lt;=0.12,(J86),(IF(E84&lt;0.16,((J85+2*J86+J87)/I292),IF(E84&gt;=0.16,((J84+3*J85+2*J86+3*J87+J88)/10)))))</f>
        <v>0.32850000000000001</v>
      </c>
      <c r="L84" s="198">
        <f>ROUND(+(D79+D84)/2*(C84-C79),3)</f>
        <v>1.23</v>
      </c>
      <c r="M84" s="198">
        <f t="shared" ref="M84" si="84">ROUND(+K84*L84,4)</f>
        <v>0.40410000000000001</v>
      </c>
      <c r="N84" s="201">
        <f t="shared" ref="N84" si="85">ROUND(+M84/$M$118*100,2)</f>
        <v>6.47</v>
      </c>
      <c r="O84" s="202"/>
      <c r="P84" s="203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9"/>
      <c r="C85" s="199"/>
      <c r="D85" s="199"/>
      <c r="E85" s="199"/>
      <c r="F85" s="41" t="s">
        <v>76</v>
      </c>
      <c r="G85" s="42">
        <f t="shared" ref="G85" si="86">IF(E84&lt;0.125,"NA",IF(0.125&lt;=E84,(0.2*E84)))</f>
        <v>8.900000000000001E-2</v>
      </c>
      <c r="H85" s="43"/>
      <c r="I85" s="44"/>
      <c r="J85" s="45">
        <v>0.24099999999999999</v>
      </c>
      <c r="K85" s="199"/>
      <c r="L85" s="199"/>
      <c r="M85" s="199"/>
      <c r="N85" s="199"/>
      <c r="O85" s="199"/>
      <c r="P85" s="204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9"/>
      <c r="C86" s="199"/>
      <c r="D86" s="199"/>
      <c r="E86" s="199"/>
      <c r="F86" s="41" t="s">
        <v>77</v>
      </c>
      <c r="G86" s="42">
        <f t="shared" ref="G86" si="87">+E84*0.4</f>
        <v>0.17800000000000002</v>
      </c>
      <c r="H86" s="43"/>
      <c r="I86" s="44"/>
      <c r="J86" s="45">
        <v>0.35099999999999998</v>
      </c>
      <c r="K86" s="199"/>
      <c r="L86" s="199"/>
      <c r="M86" s="199"/>
      <c r="N86" s="199"/>
      <c r="O86" s="199"/>
      <c r="P86" s="204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9"/>
      <c r="C87" s="199"/>
      <c r="D87" s="199"/>
      <c r="E87" s="199"/>
      <c r="F87" s="41" t="s">
        <v>78</v>
      </c>
      <c r="G87" s="42">
        <f t="shared" ref="G87" si="88">IF(E84&lt;0.125,"NA",IF(0.125&lt;=E84,(0.8*E84)))</f>
        <v>0.35600000000000004</v>
      </c>
      <c r="H87" s="43"/>
      <c r="I87" s="44"/>
      <c r="J87" s="45">
        <v>0.43</v>
      </c>
      <c r="K87" s="199"/>
      <c r="L87" s="199"/>
      <c r="M87" s="199"/>
      <c r="N87" s="199"/>
      <c r="O87" s="199"/>
      <c r="P87" s="204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20"/>
      <c r="C88" s="200"/>
      <c r="D88" s="200"/>
      <c r="E88" s="200"/>
      <c r="F88" s="46" t="s">
        <v>79</v>
      </c>
      <c r="G88" s="47">
        <f t="shared" ref="G88" si="89">+E84</f>
        <v>0.44500000000000001</v>
      </c>
      <c r="H88" s="48"/>
      <c r="I88" s="49"/>
      <c r="J88" s="50">
        <v>0.375</v>
      </c>
      <c r="K88" s="200"/>
      <c r="L88" s="200"/>
      <c r="M88" s="200"/>
      <c r="N88" s="200"/>
      <c r="O88" s="200"/>
      <c r="P88" s="205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18">
        <v>15</v>
      </c>
      <c r="C89" s="221">
        <f t="shared" ref="C89" si="90">+C84+$N$12</f>
        <v>33.1</v>
      </c>
      <c r="D89" s="198">
        <v>0.37</v>
      </c>
      <c r="E89" s="198">
        <v>0.36499999999999999</v>
      </c>
      <c r="F89" s="36" t="s">
        <v>75</v>
      </c>
      <c r="G89" s="37">
        <v>0</v>
      </c>
      <c r="H89" s="38"/>
      <c r="I89" s="39"/>
      <c r="J89" s="40">
        <v>2.5999999999999999E-2</v>
      </c>
      <c r="K89" s="198">
        <f>+IF(E89&lt;=0.12,(J91),(IF(E89&lt;0.16,((J90+2*J91+J92)/I297),IF(E89&gt;=0.16,((J89+3*J90+2*J91+3*J92+J93)/10)))))</f>
        <v>8.5599999999999996E-2</v>
      </c>
      <c r="L89" s="198">
        <f t="shared" ref="L89" si="91">ROUND(+(D84+D89)/2*(C89-C84),3)</f>
        <v>0.995</v>
      </c>
      <c r="M89" s="198">
        <f t="shared" ref="M89" si="92">ROUND(+K89*L89,4)</f>
        <v>8.5199999999999998E-2</v>
      </c>
      <c r="N89" s="201">
        <f t="shared" ref="N89" si="93">ROUND(+M89/$M$118*100,2)</f>
        <v>1.36</v>
      </c>
      <c r="O89" s="202"/>
      <c r="P89" s="203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9"/>
      <c r="C90" s="199"/>
      <c r="D90" s="199"/>
      <c r="E90" s="199"/>
      <c r="F90" s="41" t="s">
        <v>76</v>
      </c>
      <c r="G90" s="42">
        <f t="shared" ref="G90:G95" si="94">IF(E89&lt;0.125,"NA",IF(0.125&lt;=E89,(0.2*E89)))</f>
        <v>7.2999999999999995E-2</v>
      </c>
      <c r="H90" s="43"/>
      <c r="I90" s="44"/>
      <c r="J90" s="45">
        <v>8.5000000000000006E-2</v>
      </c>
      <c r="K90" s="199"/>
      <c r="L90" s="199"/>
      <c r="M90" s="199"/>
      <c r="N90" s="199"/>
      <c r="O90" s="199"/>
      <c r="P90" s="204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9"/>
      <c r="C91" s="199"/>
      <c r="D91" s="199"/>
      <c r="E91" s="199"/>
      <c r="F91" s="41" t="s">
        <v>77</v>
      </c>
      <c r="G91" s="42">
        <f t="shared" ref="G91" si="95">+E89*0.4</f>
        <v>0.14599999999999999</v>
      </c>
      <c r="H91" s="43"/>
      <c r="I91" s="44"/>
      <c r="J91" s="45">
        <v>8.5999999999999993E-2</v>
      </c>
      <c r="K91" s="199"/>
      <c r="L91" s="199"/>
      <c r="M91" s="199"/>
      <c r="N91" s="199"/>
      <c r="O91" s="199"/>
      <c r="P91" s="204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9"/>
      <c r="C92" s="199"/>
      <c r="D92" s="199"/>
      <c r="E92" s="199"/>
      <c r="F92" s="41" t="s">
        <v>78</v>
      </c>
      <c r="G92" s="42">
        <f t="shared" ref="G92" si="96">IF(E89&lt;0.125,"NA",IF(0.125&lt;=E89,(0.8*E89)))</f>
        <v>0.29199999999999998</v>
      </c>
      <c r="H92" s="43"/>
      <c r="I92" s="44"/>
      <c r="J92" s="45">
        <v>9.7000000000000003E-2</v>
      </c>
      <c r="K92" s="199"/>
      <c r="L92" s="199"/>
      <c r="M92" s="199"/>
      <c r="N92" s="199"/>
      <c r="O92" s="199"/>
      <c r="P92" s="204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20"/>
      <c r="C93" s="200"/>
      <c r="D93" s="200"/>
      <c r="E93" s="200"/>
      <c r="F93" s="46" t="s">
        <v>79</v>
      </c>
      <c r="G93" s="47">
        <f t="shared" ref="G93" si="97">+E89</f>
        <v>0.36499999999999999</v>
      </c>
      <c r="H93" s="48"/>
      <c r="I93" s="49"/>
      <c r="J93" s="50">
        <v>0.112</v>
      </c>
      <c r="K93" s="200"/>
      <c r="L93" s="200"/>
      <c r="M93" s="200"/>
      <c r="N93" s="200"/>
      <c r="O93" s="200"/>
      <c r="P93" s="205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18">
        <v>16</v>
      </c>
      <c r="C94" s="221">
        <v>35.799999999999997</v>
      </c>
      <c r="D94" s="198">
        <v>0.35</v>
      </c>
      <c r="E94" s="198">
        <v>0.1</v>
      </c>
      <c r="F94" s="36" t="s">
        <v>75</v>
      </c>
      <c r="G94" s="37">
        <v>0</v>
      </c>
      <c r="H94" s="38"/>
      <c r="I94" s="39"/>
      <c r="J94" s="40">
        <v>3.5000000000000003E-2</v>
      </c>
      <c r="K94" s="198">
        <f>+IF(E94&lt;=0.12,(J96),(IF(E94&lt;0.16,((J95+2*J96+J97)/I302),IF(E94&gt;=0.16,((J94+3*J95+2*J96+3*J97+J98)/10)))))</f>
        <v>7.5999999999999998E-2</v>
      </c>
      <c r="L94" s="198">
        <f t="shared" ref="L94" si="98">ROUND(+(D89+D94)/2*(C94-C89),3)</f>
        <v>0.97199999999999998</v>
      </c>
      <c r="M94" s="198">
        <f t="shared" ref="M94" si="99">ROUND(+K94*L94,4)</f>
        <v>7.3899999999999993E-2</v>
      </c>
      <c r="N94" s="201">
        <f t="shared" ref="N94" si="100">ROUND(+M94/$M$118*100,2)</f>
        <v>1.18</v>
      </c>
      <c r="O94" s="202"/>
      <c r="P94" s="203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9"/>
      <c r="C95" s="199"/>
      <c r="D95" s="199"/>
      <c r="E95" s="199"/>
      <c r="F95" s="41" t="s">
        <v>76</v>
      </c>
      <c r="G95" s="42" t="str">
        <f t="shared" si="94"/>
        <v>NA</v>
      </c>
      <c r="H95" s="43"/>
      <c r="I95" s="44"/>
      <c r="J95" s="45"/>
      <c r="K95" s="199"/>
      <c r="L95" s="199"/>
      <c r="M95" s="199"/>
      <c r="N95" s="199"/>
      <c r="O95" s="199"/>
      <c r="P95" s="204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9"/>
      <c r="C96" s="199"/>
      <c r="D96" s="199"/>
      <c r="E96" s="199"/>
      <c r="F96" s="41" t="s">
        <v>77</v>
      </c>
      <c r="G96" s="42">
        <f t="shared" ref="G96" si="101">+E94*0.4</f>
        <v>4.0000000000000008E-2</v>
      </c>
      <c r="H96" s="43"/>
      <c r="I96" s="44"/>
      <c r="J96" s="45">
        <v>7.5999999999999998E-2</v>
      </c>
      <c r="K96" s="199"/>
      <c r="L96" s="199"/>
      <c r="M96" s="199"/>
      <c r="N96" s="199"/>
      <c r="O96" s="199"/>
      <c r="P96" s="204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9"/>
      <c r="C97" s="199"/>
      <c r="D97" s="199"/>
      <c r="E97" s="199"/>
      <c r="F97" s="41" t="s">
        <v>78</v>
      </c>
      <c r="G97" s="42" t="str">
        <f t="shared" ref="G97" si="102">IF(E94&lt;0.125,"NA",IF(0.125&lt;=E94,(0.8*E94)))</f>
        <v>NA</v>
      </c>
      <c r="H97" s="43"/>
      <c r="I97" s="44"/>
      <c r="J97" s="45"/>
      <c r="K97" s="199"/>
      <c r="L97" s="199"/>
      <c r="M97" s="199"/>
      <c r="N97" s="199"/>
      <c r="O97" s="199"/>
      <c r="P97" s="204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20"/>
      <c r="C98" s="200"/>
      <c r="D98" s="200"/>
      <c r="E98" s="200"/>
      <c r="F98" s="46" t="s">
        <v>79</v>
      </c>
      <c r="G98" s="47">
        <f t="shared" ref="G98" si="103">+E94</f>
        <v>0.1</v>
      </c>
      <c r="H98" s="48"/>
      <c r="I98" s="49"/>
      <c r="J98" s="50">
        <v>7.5999999999999998E-2</v>
      </c>
      <c r="K98" s="200"/>
      <c r="L98" s="200"/>
      <c r="M98" s="200"/>
      <c r="N98" s="200"/>
      <c r="O98" s="200"/>
      <c r="P98" s="205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" customFormat="1" ht="13.5" customHeight="1" x14ac:dyDescent="0.2">
      <c r="B99" s="206" t="s">
        <v>28</v>
      </c>
      <c r="C99" s="209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1"/>
    </row>
    <row r="100" spans="1:26" s="3" customFormat="1" ht="14.1" customHeight="1" x14ac:dyDescent="0.2">
      <c r="B100" s="207"/>
      <c r="C100" s="212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4"/>
    </row>
    <row r="101" spans="1:26" s="3" customFormat="1" ht="14.1" customHeight="1" x14ac:dyDescent="0.2">
      <c r="B101" s="207"/>
      <c r="C101" s="212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4"/>
    </row>
    <row r="102" spans="1:26" s="3" customFormat="1" ht="14.1" customHeight="1" x14ac:dyDescent="0.2">
      <c r="B102" s="207"/>
      <c r="C102" s="212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4"/>
    </row>
    <row r="103" spans="1:26" s="3" customFormat="1" ht="14.1" customHeight="1" x14ac:dyDescent="0.2">
      <c r="B103" s="207"/>
      <c r="C103" s="212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4"/>
    </row>
    <row r="104" spans="1:26" s="3" customFormat="1" ht="14.1" customHeight="1" thickBot="1" x14ac:dyDescent="0.25">
      <c r="B104" s="208"/>
      <c r="C104" s="215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7"/>
    </row>
    <row r="105" spans="1:26" s="3" customFormat="1" ht="28.5" customHeight="1" thickBot="1" x14ac:dyDescent="0.25">
      <c r="A105" s="51"/>
      <c r="B105" s="52" t="s">
        <v>80</v>
      </c>
      <c r="C105" s="185" t="s">
        <v>81</v>
      </c>
      <c r="D105" s="185"/>
      <c r="E105" s="185"/>
      <c r="F105" s="185"/>
      <c r="G105" s="185"/>
      <c r="H105" s="186"/>
      <c r="I105" s="187"/>
      <c r="J105" s="52" t="s">
        <v>82</v>
      </c>
      <c r="K105" s="185" t="s">
        <v>83</v>
      </c>
      <c r="L105" s="185"/>
      <c r="M105" s="185"/>
      <c r="N105" s="185"/>
      <c r="O105" s="185"/>
      <c r="P105" s="186"/>
    </row>
    <row r="106" spans="1:26" s="3" customFormat="1" ht="28.5" customHeight="1" thickBot="1" x14ac:dyDescent="0.25">
      <c r="B106" s="53" t="s">
        <v>84</v>
      </c>
      <c r="C106" s="189" t="s">
        <v>85</v>
      </c>
      <c r="D106" s="189"/>
      <c r="E106" s="189"/>
      <c r="F106" s="189"/>
      <c r="G106" s="189"/>
      <c r="H106" s="190"/>
      <c r="I106" s="188"/>
      <c r="J106" s="53" t="s">
        <v>86</v>
      </c>
      <c r="K106" s="189" t="s">
        <v>87</v>
      </c>
      <c r="L106" s="189"/>
      <c r="M106" s="189"/>
      <c r="N106" s="189"/>
      <c r="O106" s="189"/>
      <c r="P106" s="190"/>
    </row>
    <row r="107" spans="1:26" s="91" customFormat="1" ht="13.5" customHeight="1" x14ac:dyDescent="0.25">
      <c r="A107" s="54"/>
      <c r="B107" s="191">
        <f>+B79</f>
        <v>13</v>
      </c>
      <c r="C107" s="194">
        <f>+C74</f>
        <v>27.1</v>
      </c>
      <c r="D107" s="196">
        <f>+D74</f>
        <v>0.495</v>
      </c>
      <c r="E107" s="196">
        <f>+E79</f>
        <v>0.62</v>
      </c>
      <c r="F107" s="55" t="s">
        <v>75</v>
      </c>
      <c r="G107" s="55">
        <v>0.01</v>
      </c>
      <c r="H107" s="56"/>
      <c r="I107" s="57"/>
      <c r="J107" s="58">
        <v>0.30399999999999999</v>
      </c>
      <c r="K107" s="197">
        <f>+AVERAGE(J107:J117)</f>
        <v>0.58618181818181814</v>
      </c>
      <c r="L107" s="176">
        <f>ROUND(+(D107+D112)/2*(C112-C107),3)</f>
        <v>1.1000000000000001</v>
      </c>
      <c r="M107" s="179">
        <f>ROUND(+K107*L107,4)</f>
        <v>0.64480000000000004</v>
      </c>
      <c r="N107" s="176">
        <f>ROUND(+M107/$M$118*100,2)</f>
        <v>10.32</v>
      </c>
      <c r="O107" s="176"/>
      <c r="P107" s="180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s="91" customFormat="1" ht="13.5" customHeight="1" x14ac:dyDescent="0.25">
      <c r="A108" s="54"/>
      <c r="B108" s="192"/>
      <c r="C108" s="177"/>
      <c r="D108" s="177"/>
      <c r="E108" s="177"/>
      <c r="F108" s="60" t="s">
        <v>88</v>
      </c>
      <c r="G108" s="61">
        <f>+E107*0.1</f>
        <v>6.2E-2</v>
      </c>
      <c r="H108" s="62"/>
      <c r="I108" s="63"/>
      <c r="J108" s="64">
        <v>0.46</v>
      </c>
      <c r="K108" s="177"/>
      <c r="L108" s="177"/>
      <c r="M108" s="177"/>
      <c r="N108" s="177"/>
      <c r="O108" s="177"/>
      <c r="P108" s="181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s="91" customFormat="1" ht="13.5" customHeight="1" x14ac:dyDescent="0.25">
      <c r="A109" s="54"/>
      <c r="B109" s="192"/>
      <c r="C109" s="177"/>
      <c r="D109" s="177"/>
      <c r="E109" s="177"/>
      <c r="F109" s="60" t="s">
        <v>89</v>
      </c>
      <c r="G109" s="61">
        <f>+E107*0.2</f>
        <v>0.124</v>
      </c>
      <c r="H109" s="62"/>
      <c r="I109" s="63"/>
      <c r="J109" s="64">
        <v>0.53900000000000003</v>
      </c>
      <c r="K109" s="177"/>
      <c r="L109" s="177"/>
      <c r="M109" s="177"/>
      <c r="N109" s="177"/>
      <c r="O109" s="177"/>
      <c r="P109" s="181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s="91" customFormat="1" ht="13.5" customHeight="1" x14ac:dyDescent="0.25">
      <c r="A110" s="54"/>
      <c r="B110" s="192"/>
      <c r="C110" s="177"/>
      <c r="D110" s="177"/>
      <c r="E110" s="177"/>
      <c r="F110" s="60" t="s">
        <v>90</v>
      </c>
      <c r="G110" s="61">
        <f>+E107*0.3</f>
        <v>0.186</v>
      </c>
      <c r="H110" s="62"/>
      <c r="I110" s="63"/>
      <c r="J110" s="64">
        <v>0.55300000000000005</v>
      </c>
      <c r="K110" s="177"/>
      <c r="L110" s="177"/>
      <c r="M110" s="177"/>
      <c r="N110" s="177"/>
      <c r="O110" s="177"/>
      <c r="P110" s="181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s="91" customFormat="1" ht="13.5" customHeight="1" x14ac:dyDescent="0.25">
      <c r="A111" s="54"/>
      <c r="B111" s="192"/>
      <c r="C111" s="195"/>
      <c r="D111" s="195"/>
      <c r="E111" s="177"/>
      <c r="F111" s="60" t="s">
        <v>91</v>
      </c>
      <c r="G111" s="61">
        <f>+E107*0.4</f>
        <v>0.248</v>
      </c>
      <c r="H111" s="62"/>
      <c r="I111" s="63"/>
      <c r="J111" s="64">
        <v>0.64300000000000002</v>
      </c>
      <c r="K111" s="177"/>
      <c r="L111" s="177"/>
      <c r="M111" s="177"/>
      <c r="N111" s="177"/>
      <c r="O111" s="177"/>
      <c r="P111" s="181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s="91" customFormat="1" ht="13.5" customHeight="1" x14ac:dyDescent="0.25">
      <c r="A112" s="54" t="s">
        <v>35</v>
      </c>
      <c r="B112" s="192"/>
      <c r="C112" s="183">
        <f>+C79</f>
        <v>29.1</v>
      </c>
      <c r="D112" s="184">
        <f>+D79</f>
        <v>0.60499999999999998</v>
      </c>
      <c r="E112" s="177"/>
      <c r="F112" s="60" t="s">
        <v>29</v>
      </c>
      <c r="G112" s="61">
        <f>+E107*0.5</f>
        <v>0.31</v>
      </c>
      <c r="H112" s="62"/>
      <c r="I112" s="63"/>
      <c r="J112" s="64">
        <v>0.621</v>
      </c>
      <c r="K112" s="177"/>
      <c r="L112" s="177"/>
      <c r="M112" s="177"/>
      <c r="N112" s="177"/>
      <c r="O112" s="177"/>
      <c r="P112" s="181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s="91" customFormat="1" ht="13.5" customHeight="1" x14ac:dyDescent="0.25">
      <c r="A113" s="54"/>
      <c r="B113" s="192"/>
      <c r="C113" s="177"/>
      <c r="D113" s="177"/>
      <c r="E113" s="177"/>
      <c r="F113" s="60" t="s">
        <v>92</v>
      </c>
      <c r="G113" s="61">
        <f>+E107*0.6</f>
        <v>0.372</v>
      </c>
      <c r="H113" s="62"/>
      <c r="I113" s="63"/>
      <c r="J113" s="64">
        <v>0.64500000000000002</v>
      </c>
      <c r="K113" s="177"/>
      <c r="L113" s="177"/>
      <c r="M113" s="177"/>
      <c r="N113" s="177"/>
      <c r="O113" s="177"/>
      <c r="P113" s="181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s="91" customFormat="1" ht="13.5" customHeight="1" x14ac:dyDescent="0.25">
      <c r="A114" s="54"/>
      <c r="B114" s="192"/>
      <c r="C114" s="177"/>
      <c r="D114" s="177"/>
      <c r="E114" s="177"/>
      <c r="F114" s="60" t="s">
        <v>93</v>
      </c>
      <c r="G114" s="61">
        <f>+E107*0.7</f>
        <v>0.434</v>
      </c>
      <c r="H114" s="62"/>
      <c r="I114" s="63"/>
      <c r="J114" s="64">
        <v>0.66300000000000003</v>
      </c>
      <c r="K114" s="177"/>
      <c r="L114" s="177"/>
      <c r="M114" s="177"/>
      <c r="N114" s="177"/>
      <c r="O114" s="177"/>
      <c r="P114" s="181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s="91" customFormat="1" ht="13.5" customHeight="1" x14ac:dyDescent="0.25">
      <c r="A115" s="54"/>
      <c r="B115" s="192"/>
      <c r="C115" s="177"/>
      <c r="D115" s="177"/>
      <c r="E115" s="177"/>
      <c r="F115" s="60" t="s">
        <v>94</v>
      </c>
      <c r="G115" s="61">
        <f>+E107*0.8</f>
        <v>0.496</v>
      </c>
      <c r="H115" s="62"/>
      <c r="I115" s="63"/>
      <c r="J115" s="64">
        <v>0.7</v>
      </c>
      <c r="K115" s="177"/>
      <c r="L115" s="177"/>
      <c r="M115" s="177"/>
      <c r="N115" s="177"/>
      <c r="O115" s="177"/>
      <c r="P115" s="181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s="91" customFormat="1" ht="13.5" customHeight="1" x14ac:dyDescent="0.25">
      <c r="A116" s="54" t="s">
        <v>36</v>
      </c>
      <c r="B116" s="192"/>
      <c r="C116" s="177"/>
      <c r="D116" s="177"/>
      <c r="E116" s="177"/>
      <c r="F116" s="60" t="s">
        <v>95</v>
      </c>
      <c r="G116" s="61">
        <f>+E107*0.9</f>
        <v>0.55800000000000005</v>
      </c>
      <c r="H116" s="62"/>
      <c r="I116" s="63"/>
      <c r="J116" s="64">
        <v>0.68799999999999994</v>
      </c>
      <c r="K116" s="177"/>
      <c r="L116" s="177"/>
      <c r="M116" s="177"/>
      <c r="N116" s="177"/>
      <c r="O116" s="177"/>
      <c r="P116" s="181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s="91" customFormat="1" ht="15.75" thickBot="1" x14ac:dyDescent="0.3">
      <c r="A117" s="54"/>
      <c r="B117" s="193"/>
      <c r="C117" s="178"/>
      <c r="D117" s="178"/>
      <c r="E117" s="178"/>
      <c r="F117" s="65" t="s">
        <v>30</v>
      </c>
      <c r="G117" s="65">
        <f>+E107</f>
        <v>0.62</v>
      </c>
      <c r="H117" s="66"/>
      <c r="I117" s="67"/>
      <c r="J117" s="68">
        <v>0.63200000000000001</v>
      </c>
      <c r="K117" s="178"/>
      <c r="L117" s="178"/>
      <c r="M117" s="178"/>
      <c r="N117" s="178"/>
      <c r="O117" s="178"/>
      <c r="P117" s="182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s="3" customFormat="1" ht="12.75" x14ac:dyDescent="0.2">
      <c r="A118" s="8"/>
      <c r="B118" s="164" t="s">
        <v>103</v>
      </c>
      <c r="C118" s="164"/>
      <c r="D118" s="164"/>
      <c r="E118" s="164"/>
      <c r="F118" s="164"/>
      <c r="G118" s="164"/>
      <c r="H118" s="164"/>
      <c r="I118" s="164"/>
      <c r="J118" s="164"/>
      <c r="K118" s="13">
        <f>ROUND(+M118/L118,3)</f>
        <v>0.46899999999999997</v>
      </c>
      <c r="L118" s="12">
        <f>SUM(L19:L117)</f>
        <v>13.311999999999998</v>
      </c>
      <c r="M118" s="11">
        <f>SUM(M19:M117)</f>
        <v>6.2476000000000003</v>
      </c>
      <c r="N118" s="9">
        <f>ROUND(SUM(N19:N117),0)</f>
        <v>100</v>
      </c>
      <c r="O118" s="166" t="s">
        <v>31</v>
      </c>
      <c r="P118" s="168"/>
    </row>
    <row r="119" spans="1:26" s="3" customFormat="1" ht="15" customHeight="1" thickBot="1" x14ac:dyDescent="0.25">
      <c r="A119" s="8"/>
      <c r="B119" s="165"/>
      <c r="C119" s="165"/>
      <c r="D119" s="165"/>
      <c r="E119" s="165"/>
      <c r="F119" s="165"/>
      <c r="G119" s="165"/>
      <c r="H119" s="165"/>
      <c r="I119" s="165"/>
      <c r="J119" s="165"/>
      <c r="K119" s="10" t="s">
        <v>32</v>
      </c>
      <c r="L119" s="10" t="s">
        <v>48</v>
      </c>
      <c r="M119" s="10" t="s">
        <v>100</v>
      </c>
      <c r="N119" s="10" t="s">
        <v>33</v>
      </c>
      <c r="O119" s="167"/>
      <c r="P119" s="169"/>
    </row>
    <row r="120" spans="1:26" ht="15" customHeight="1" thickBot="1" x14ac:dyDescent="0.3">
      <c r="A120" s="93"/>
      <c r="B120" s="170" t="s">
        <v>96</v>
      </c>
      <c r="C120" s="171"/>
      <c r="D120" s="171"/>
      <c r="E120" s="171"/>
      <c r="F120" s="172"/>
      <c r="G120" s="170" t="s">
        <v>97</v>
      </c>
      <c r="H120" s="171"/>
      <c r="I120" s="171"/>
      <c r="J120" s="171"/>
      <c r="K120" s="172"/>
      <c r="L120" s="173" t="s">
        <v>49</v>
      </c>
      <c r="M120" s="174"/>
      <c r="N120" s="174"/>
      <c r="O120" s="174"/>
      <c r="P120" s="175"/>
    </row>
    <row r="121" spans="1:26" ht="15" customHeight="1" x14ac:dyDescent="0.25">
      <c r="A121" s="93"/>
      <c r="B121" s="134"/>
      <c r="C121" s="135"/>
      <c r="D121" s="135"/>
      <c r="E121" s="135"/>
      <c r="F121" s="136"/>
      <c r="G121" s="134"/>
      <c r="H121" s="135"/>
      <c r="I121" s="135"/>
      <c r="J121" s="135"/>
      <c r="K121" s="136"/>
      <c r="L121" s="143" t="s">
        <v>98</v>
      </c>
      <c r="M121" s="144"/>
      <c r="N121" s="144"/>
      <c r="O121" s="145">
        <f>+AVERAGE(E18:E98)</f>
        <v>0.389125</v>
      </c>
      <c r="P121" s="146"/>
    </row>
    <row r="122" spans="1:26" ht="15" customHeight="1" thickBot="1" x14ac:dyDescent="0.3">
      <c r="A122" s="93"/>
      <c r="B122" s="137"/>
      <c r="C122" s="138"/>
      <c r="D122" s="138"/>
      <c r="E122" s="138"/>
      <c r="F122" s="139"/>
      <c r="G122" s="137"/>
      <c r="H122" s="138"/>
      <c r="I122" s="138"/>
      <c r="J122" s="138"/>
      <c r="K122" s="139"/>
      <c r="L122" s="147" t="s">
        <v>99</v>
      </c>
      <c r="M122" s="148"/>
      <c r="N122" s="148"/>
      <c r="O122" s="149">
        <f>MAX(E18:E98)</f>
        <v>0.62</v>
      </c>
      <c r="P122" s="150"/>
    </row>
    <row r="123" spans="1:26" ht="18.600000000000001" customHeight="1" x14ac:dyDescent="0.25">
      <c r="A123" s="94"/>
      <c r="B123" s="137"/>
      <c r="C123" s="138"/>
      <c r="D123" s="138"/>
      <c r="E123" s="138"/>
      <c r="F123" s="139"/>
      <c r="G123" s="137"/>
      <c r="H123" s="138"/>
      <c r="I123" s="138"/>
      <c r="J123" s="138"/>
      <c r="K123" s="139"/>
      <c r="L123" s="151"/>
      <c r="M123" s="152"/>
      <c r="N123" s="152"/>
      <c r="O123" s="152"/>
      <c r="P123" s="153"/>
    </row>
    <row r="124" spans="1:26" ht="42" customHeight="1" x14ac:dyDescent="0.25">
      <c r="A124" s="95"/>
      <c r="B124" s="137"/>
      <c r="C124" s="138"/>
      <c r="D124" s="138"/>
      <c r="E124" s="138"/>
      <c r="F124" s="139"/>
      <c r="G124" s="137"/>
      <c r="H124" s="138"/>
      <c r="I124" s="138"/>
      <c r="J124" s="138"/>
      <c r="K124" s="139"/>
      <c r="L124" s="154"/>
      <c r="M124" s="155"/>
      <c r="N124" s="155"/>
      <c r="O124" s="155"/>
      <c r="P124" s="156"/>
    </row>
    <row r="125" spans="1:26" ht="15" customHeight="1" thickBot="1" x14ac:dyDescent="0.3">
      <c r="A125" s="93"/>
      <c r="B125" s="137"/>
      <c r="C125" s="138"/>
      <c r="D125" s="138"/>
      <c r="E125" s="138"/>
      <c r="F125" s="139"/>
      <c r="G125" s="137"/>
      <c r="H125" s="138"/>
      <c r="I125" s="138"/>
      <c r="J125" s="138"/>
      <c r="K125" s="139"/>
      <c r="L125" s="157"/>
      <c r="M125" s="158"/>
      <c r="N125" s="158"/>
      <c r="O125" s="158"/>
      <c r="P125" s="159"/>
    </row>
    <row r="126" spans="1:26" ht="22.5" customHeight="1" thickBot="1" x14ac:dyDescent="0.3">
      <c r="A126" s="93"/>
      <c r="B126" s="137"/>
      <c r="C126" s="138"/>
      <c r="D126" s="138"/>
      <c r="E126" s="138"/>
      <c r="F126" s="139"/>
      <c r="G126" s="137"/>
      <c r="H126" s="138"/>
      <c r="I126" s="138"/>
      <c r="J126" s="138"/>
      <c r="K126" s="139"/>
      <c r="L126" s="160" t="s">
        <v>34</v>
      </c>
      <c r="M126" s="161"/>
      <c r="N126" s="161"/>
      <c r="O126" s="161"/>
      <c r="P126" s="90">
        <v>7.89</v>
      </c>
    </row>
    <row r="127" spans="1:26" ht="32.25" customHeight="1" thickBot="1" x14ac:dyDescent="0.3">
      <c r="A127" s="93"/>
      <c r="B127" s="140"/>
      <c r="C127" s="141"/>
      <c r="D127" s="141"/>
      <c r="E127" s="141"/>
      <c r="F127" s="142"/>
      <c r="G127" s="140"/>
      <c r="H127" s="141"/>
      <c r="I127" s="141"/>
      <c r="J127" s="141"/>
      <c r="K127" s="142"/>
      <c r="L127" s="162" t="s">
        <v>102</v>
      </c>
      <c r="M127" s="163"/>
      <c r="N127" s="163"/>
      <c r="O127" s="163"/>
      <c r="P127" s="90">
        <v>1.173</v>
      </c>
    </row>
    <row r="128" spans="1:26" ht="15.75" thickBot="1" x14ac:dyDescent="0.3"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1"/>
    </row>
    <row r="129" spans="1:16" ht="23.45" customHeight="1" thickBot="1" x14ac:dyDescent="0.3">
      <c r="A129" s="5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</row>
    <row r="130" spans="1:16" ht="15.75" thickBot="1" x14ac:dyDescent="0.3">
      <c r="A130" s="117" t="s">
        <v>35</v>
      </c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9"/>
    </row>
    <row r="131" spans="1:16" ht="159" customHeight="1" thickBot="1" x14ac:dyDescent="0.3">
      <c r="A131" s="4"/>
      <c r="B131" s="120"/>
      <c r="C131" s="121"/>
      <c r="D131" s="121"/>
      <c r="E131" s="121"/>
      <c r="F131" s="122"/>
      <c r="G131" s="123"/>
      <c r="H131" s="124"/>
      <c r="I131" s="124"/>
      <c r="J131" s="124"/>
      <c r="K131" s="125"/>
      <c r="L131" s="123"/>
      <c r="M131" s="124"/>
      <c r="N131" s="124"/>
      <c r="O131" s="124"/>
      <c r="P131" s="126"/>
    </row>
    <row r="132" spans="1:16" ht="21.75" customHeight="1" thickBot="1" x14ac:dyDescent="0.3">
      <c r="A132" s="4"/>
      <c r="B132" s="127"/>
      <c r="C132" s="128"/>
      <c r="D132" s="128"/>
      <c r="E132" s="128"/>
      <c r="F132" s="129"/>
      <c r="G132" s="130" t="s">
        <v>111</v>
      </c>
      <c r="H132" s="131"/>
      <c r="I132" s="131"/>
      <c r="J132" s="131"/>
      <c r="K132" s="132"/>
      <c r="L132" s="130"/>
      <c r="M132" s="131"/>
      <c r="N132" s="131"/>
      <c r="O132" s="131"/>
      <c r="P132" s="133"/>
    </row>
    <row r="133" spans="1:16" s="7" customFormat="1" ht="16.899999999999999" customHeight="1" thickBot="1" x14ac:dyDescent="0.3">
      <c r="A133" s="6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10"/>
    </row>
    <row r="134" spans="1:16" s="3" customFormat="1" ht="15.75" customHeight="1" thickBot="1" x14ac:dyDescent="0.25">
      <c r="A134" s="111" t="s">
        <v>36</v>
      </c>
      <c r="B134" s="112"/>
      <c r="C134" s="113"/>
      <c r="D134" s="114"/>
      <c r="E134" s="114"/>
      <c r="F134" s="114"/>
      <c r="G134" s="114"/>
      <c r="H134" s="114"/>
      <c r="I134" s="114"/>
      <c r="J134" s="114" t="s">
        <v>37</v>
      </c>
      <c r="K134" s="114"/>
      <c r="L134" s="114"/>
      <c r="M134" s="114"/>
      <c r="N134" s="114"/>
      <c r="O134" s="114"/>
      <c r="P134" s="115"/>
    </row>
  </sheetData>
  <mergeCells count="266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94:M98"/>
    <mergeCell ref="N94:N98"/>
    <mergeCell ref="O94:O98"/>
    <mergeCell ref="P94:P98"/>
    <mergeCell ref="B99:B104"/>
    <mergeCell ref="C99:P104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C105:H105"/>
    <mergeCell ref="I105:I106"/>
    <mergeCell ref="K105:P105"/>
    <mergeCell ref="C106:H106"/>
    <mergeCell ref="K106:P106"/>
    <mergeCell ref="B107:B117"/>
    <mergeCell ref="C107:C111"/>
    <mergeCell ref="D107:D111"/>
    <mergeCell ref="E107:E117"/>
    <mergeCell ref="K107:K117"/>
    <mergeCell ref="B118:J119"/>
    <mergeCell ref="O118:O119"/>
    <mergeCell ref="P118:P119"/>
    <mergeCell ref="B120:F120"/>
    <mergeCell ref="G120:K120"/>
    <mergeCell ref="L120:P120"/>
    <mergeCell ref="L107:L117"/>
    <mergeCell ref="M107:M117"/>
    <mergeCell ref="N107:N117"/>
    <mergeCell ref="O107:O117"/>
    <mergeCell ref="P107:P117"/>
    <mergeCell ref="C112:C117"/>
    <mergeCell ref="D112:D117"/>
    <mergeCell ref="B121:F127"/>
    <mergeCell ref="G121:K127"/>
    <mergeCell ref="L121:N121"/>
    <mergeCell ref="O121:P121"/>
    <mergeCell ref="L122:N122"/>
    <mergeCell ref="O122:P122"/>
    <mergeCell ref="L123:P125"/>
    <mergeCell ref="L126:O126"/>
    <mergeCell ref="L127:O127"/>
    <mergeCell ref="B132:F132"/>
    <mergeCell ref="G132:K132"/>
    <mergeCell ref="L132:P132"/>
    <mergeCell ref="B133:P133"/>
    <mergeCell ref="A134:C134"/>
    <mergeCell ref="D134:I134"/>
    <mergeCell ref="J134:K134"/>
    <mergeCell ref="L134:P134"/>
    <mergeCell ref="B128:P128"/>
    <mergeCell ref="B129:P129"/>
    <mergeCell ref="A130:P130"/>
    <mergeCell ref="B131:F131"/>
    <mergeCell ref="G131:K131"/>
    <mergeCell ref="L131:P13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0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4"/>
      <c r="B2" s="315"/>
      <c r="C2" s="316"/>
      <c r="D2" s="317"/>
      <c r="E2" s="318" t="s">
        <v>118</v>
      </c>
      <c r="F2" s="319"/>
      <c r="G2" s="319"/>
      <c r="H2" s="319"/>
      <c r="I2" s="319"/>
      <c r="J2" s="319"/>
      <c r="K2" s="319"/>
      <c r="L2" s="319"/>
      <c r="M2" s="319"/>
      <c r="N2" s="319"/>
      <c r="O2" s="320"/>
      <c r="P2" s="321"/>
    </row>
    <row r="3" spans="1:26" s="2" customFormat="1" ht="25.5" customHeight="1" thickBot="1" x14ac:dyDescent="0.3">
      <c r="A3" s="314"/>
      <c r="B3" s="322"/>
      <c r="C3" s="323"/>
      <c r="D3" s="324"/>
      <c r="E3" s="325"/>
      <c r="F3" s="326"/>
      <c r="G3" s="326"/>
      <c r="H3" s="326"/>
      <c r="I3" s="326"/>
      <c r="J3" s="326"/>
      <c r="K3" s="326"/>
      <c r="L3" s="326"/>
      <c r="M3" s="326"/>
      <c r="N3" s="326"/>
      <c r="O3" s="327"/>
      <c r="P3" s="328"/>
    </row>
    <row r="4" spans="1:26" s="91" customFormat="1" ht="11.25" customHeight="1" thickBot="1" x14ac:dyDescent="0.3">
      <c r="A4" s="15"/>
      <c r="B4" s="304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05">
        <v>43172</v>
      </c>
      <c r="D5" s="306"/>
      <c r="E5" s="70" t="s">
        <v>50</v>
      </c>
      <c r="F5" s="71">
        <v>3</v>
      </c>
      <c r="G5" s="72" t="s">
        <v>1</v>
      </c>
      <c r="H5" s="307" t="s">
        <v>119</v>
      </c>
      <c r="I5" s="308"/>
      <c r="J5" s="308"/>
      <c r="K5" s="308"/>
      <c r="L5" s="308"/>
      <c r="M5" s="308"/>
      <c r="N5" s="308"/>
      <c r="O5" s="308"/>
      <c r="P5" s="30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88" t="s">
        <v>2</v>
      </c>
      <c r="C6" s="289"/>
      <c r="D6" s="290" t="s">
        <v>112</v>
      </c>
      <c r="E6" s="291"/>
      <c r="F6" s="291"/>
      <c r="G6" s="291"/>
      <c r="H6" s="291"/>
      <c r="I6" s="292"/>
      <c r="J6" s="74" t="s">
        <v>3</v>
      </c>
      <c r="K6" s="293" t="s">
        <v>107</v>
      </c>
      <c r="L6" s="292"/>
      <c r="M6" s="293" t="s">
        <v>108</v>
      </c>
      <c r="N6" s="294"/>
      <c r="O6" s="75" t="s">
        <v>51</v>
      </c>
      <c r="P6" s="76">
        <v>731</v>
      </c>
    </row>
    <row r="7" spans="1:26" s="18" customFormat="1" ht="21.75" customHeight="1" x14ac:dyDescent="0.25">
      <c r="B7" s="295" t="s">
        <v>52</v>
      </c>
      <c r="C7" s="296" t="s">
        <v>53</v>
      </c>
      <c r="D7" s="266"/>
      <c r="E7" s="78"/>
      <c r="F7" s="297" t="s">
        <v>54</v>
      </c>
      <c r="G7" s="298"/>
      <c r="H7" s="298"/>
      <c r="I7" s="298"/>
      <c r="J7" s="299" t="s">
        <v>55</v>
      </c>
      <c r="K7" s="300"/>
      <c r="L7" s="300"/>
      <c r="M7" s="301"/>
      <c r="N7" s="302" t="s">
        <v>101</v>
      </c>
      <c r="O7" s="303"/>
      <c r="P7" s="79" t="s">
        <v>56</v>
      </c>
    </row>
    <row r="8" spans="1:26" s="18" customFormat="1" ht="21.75" customHeight="1" thickBot="1" x14ac:dyDescent="0.3">
      <c r="B8" s="240"/>
      <c r="C8" s="257" t="s">
        <v>57</v>
      </c>
      <c r="D8" s="256"/>
      <c r="E8" s="80" t="s">
        <v>4</v>
      </c>
      <c r="F8" s="267" t="s">
        <v>5</v>
      </c>
      <c r="G8" s="268"/>
      <c r="H8" s="268"/>
      <c r="I8" s="268"/>
      <c r="J8" s="269"/>
      <c r="K8" s="270"/>
      <c r="L8" s="270"/>
      <c r="M8" s="271"/>
      <c r="N8" s="272"/>
      <c r="O8" s="273"/>
      <c r="P8" s="81"/>
    </row>
    <row r="9" spans="1:26" s="18" customFormat="1" ht="21.75" customHeight="1" x14ac:dyDescent="0.25">
      <c r="B9" s="274" t="s">
        <v>6</v>
      </c>
      <c r="C9" s="277" t="s">
        <v>58</v>
      </c>
      <c r="D9" s="278" t="s">
        <v>59</v>
      </c>
      <c r="E9" s="263"/>
      <c r="F9" s="82"/>
      <c r="G9" s="279" t="s">
        <v>7</v>
      </c>
      <c r="H9" s="280" t="s">
        <v>8</v>
      </c>
      <c r="I9" s="266"/>
      <c r="J9" s="83"/>
      <c r="K9" s="277" t="s">
        <v>60</v>
      </c>
      <c r="L9" s="281" t="s">
        <v>113</v>
      </c>
      <c r="M9" s="282"/>
      <c r="N9" s="283"/>
      <c r="O9" s="283"/>
      <c r="P9" s="284"/>
    </row>
    <row r="10" spans="1:26" s="18" customFormat="1" ht="21.75" customHeight="1" thickBot="1" x14ac:dyDescent="0.3">
      <c r="B10" s="275"/>
      <c r="C10" s="220"/>
      <c r="D10" s="261" t="s">
        <v>61</v>
      </c>
      <c r="E10" s="256"/>
      <c r="F10" s="84" t="s">
        <v>4</v>
      </c>
      <c r="G10" s="220"/>
      <c r="H10" s="261" t="s">
        <v>9</v>
      </c>
      <c r="I10" s="256"/>
      <c r="J10" s="85" t="s">
        <v>4</v>
      </c>
      <c r="K10" s="220"/>
      <c r="L10" s="285"/>
      <c r="M10" s="286"/>
      <c r="N10" s="286"/>
      <c r="O10" s="286"/>
      <c r="P10" s="287"/>
    </row>
    <row r="11" spans="1:26" s="18" customFormat="1" ht="21.75" customHeight="1" x14ac:dyDescent="0.25">
      <c r="A11" s="16"/>
      <c r="B11" s="275"/>
      <c r="C11" s="262" t="s">
        <v>10</v>
      </c>
      <c r="D11" s="263"/>
      <c r="E11" s="86">
        <v>0.39861111111111108</v>
      </c>
      <c r="F11" s="264" t="s">
        <v>11</v>
      </c>
      <c r="G11" s="263"/>
      <c r="H11" s="87">
        <v>1.1499999999999999</v>
      </c>
      <c r="I11" s="265" t="s">
        <v>12</v>
      </c>
      <c r="J11" s="266"/>
      <c r="K11" s="87">
        <v>20</v>
      </c>
      <c r="L11" s="262" t="s">
        <v>13</v>
      </c>
      <c r="M11" s="263"/>
      <c r="N11" s="88">
        <v>30.2</v>
      </c>
      <c r="O11" s="253" t="s">
        <v>62</v>
      </c>
      <c r="P11" s="254"/>
    </row>
    <row r="12" spans="1:26" s="18" customFormat="1" ht="21.75" customHeight="1" thickBot="1" x14ac:dyDescent="0.3">
      <c r="A12" s="16"/>
      <c r="B12" s="276"/>
      <c r="C12" s="255" t="s">
        <v>14</v>
      </c>
      <c r="D12" s="256"/>
      <c r="E12" s="86">
        <v>0.46666666666666662</v>
      </c>
      <c r="F12" s="257" t="s">
        <v>15</v>
      </c>
      <c r="G12" s="256"/>
      <c r="H12" s="87">
        <v>1.18</v>
      </c>
      <c r="I12" s="258" t="s">
        <v>16</v>
      </c>
      <c r="J12" s="256"/>
      <c r="K12" s="86">
        <v>0.3888888888888889</v>
      </c>
      <c r="L12" s="255" t="s">
        <v>17</v>
      </c>
      <c r="M12" s="256"/>
      <c r="N12" s="89">
        <v>1</v>
      </c>
      <c r="O12" s="259">
        <v>3</v>
      </c>
      <c r="P12" s="260"/>
    </row>
    <row r="13" spans="1:26" s="18" customFormat="1" ht="21.75" customHeight="1" x14ac:dyDescent="0.25">
      <c r="A13" s="16"/>
      <c r="B13" s="238" t="s">
        <v>18</v>
      </c>
      <c r="C13" s="241" t="s">
        <v>63</v>
      </c>
      <c r="D13" s="242"/>
      <c r="E13" s="242"/>
      <c r="F13" s="243" t="s">
        <v>64</v>
      </c>
      <c r="G13" s="242"/>
      <c r="H13" s="242"/>
      <c r="I13" s="242"/>
      <c r="J13" s="243" t="s">
        <v>65</v>
      </c>
      <c r="K13" s="242"/>
      <c r="L13" s="242"/>
      <c r="M13" s="242"/>
      <c r="N13" s="244" t="s">
        <v>66</v>
      </c>
      <c r="O13" s="242"/>
      <c r="P13" s="24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9"/>
      <c r="C14" s="246" t="s">
        <v>67</v>
      </c>
      <c r="D14" s="247"/>
      <c r="E14" s="247"/>
      <c r="F14" s="248" t="s">
        <v>68</v>
      </c>
      <c r="G14" s="247"/>
      <c r="H14" s="247"/>
      <c r="I14" s="247"/>
      <c r="J14" s="249" t="s">
        <v>69</v>
      </c>
      <c r="K14" s="247"/>
      <c r="L14" s="247"/>
      <c r="M14" s="247"/>
      <c r="N14" s="250"/>
      <c r="O14" s="235"/>
      <c r="P14" s="25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40"/>
      <c r="C15" s="252" t="s">
        <v>70</v>
      </c>
      <c r="D15" s="222"/>
      <c r="E15" s="222"/>
      <c r="F15" s="222" t="s">
        <v>71</v>
      </c>
      <c r="G15" s="223"/>
      <c r="H15" s="223"/>
      <c r="I15" s="223"/>
      <c r="J15" s="222" t="s">
        <v>72</v>
      </c>
      <c r="K15" s="223"/>
      <c r="L15" s="223"/>
      <c r="M15" s="223"/>
      <c r="N15" s="224"/>
      <c r="O15" s="225"/>
      <c r="P15" s="22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27" t="s">
        <v>19</v>
      </c>
      <c r="C16" s="229" t="s">
        <v>20</v>
      </c>
      <c r="D16" s="229" t="s">
        <v>40</v>
      </c>
      <c r="E16" s="231" t="s">
        <v>21</v>
      </c>
      <c r="F16" s="232" t="s">
        <v>41</v>
      </c>
      <c r="G16" s="233"/>
      <c r="H16" s="229" t="s">
        <v>73</v>
      </c>
      <c r="I16" s="23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28"/>
      <c r="C17" s="230"/>
      <c r="D17" s="230"/>
      <c r="E17" s="230"/>
      <c r="F17" s="234"/>
      <c r="G17" s="235"/>
      <c r="H17" s="230"/>
      <c r="I17" s="23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3</v>
      </c>
      <c r="D18" s="29">
        <v>0.125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 t="s">
        <v>105</v>
      </c>
      <c r="B19" s="218">
        <v>1</v>
      </c>
      <c r="C19" s="221">
        <f>+C18+N12</f>
        <v>4</v>
      </c>
      <c r="D19" s="198">
        <v>0.21299999999999999</v>
      </c>
      <c r="E19" s="198">
        <v>0.187</v>
      </c>
      <c r="F19" s="36" t="s">
        <v>75</v>
      </c>
      <c r="G19" s="37">
        <v>0</v>
      </c>
      <c r="H19" s="38"/>
      <c r="I19" s="39"/>
      <c r="J19" s="40">
        <v>1.0999999999999999E-2</v>
      </c>
      <c r="K19" s="198">
        <f>+IF(E19&lt;=0.12,(J21),(IF(E19&lt;0.16,((J20+2*J21+J22)/4),IF(E19&gt;=0.16,((J19+3*J20+2*J21+3*J22+J23)/10)))))</f>
        <v>2.2600000000000002E-2</v>
      </c>
      <c r="L19" s="198">
        <f>ROUND(+(D18+D19)/2*(C19-C18),3)</f>
        <v>0.16900000000000001</v>
      </c>
      <c r="M19" s="198">
        <f>ROUND(+K19*L19,4)</f>
        <v>3.8E-3</v>
      </c>
      <c r="N19" s="201">
        <f>ROUND(+M19/$M$188*100,2)</f>
        <v>0.13</v>
      </c>
      <c r="O19" s="202"/>
      <c r="P19" s="20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9"/>
      <c r="C20" s="199"/>
      <c r="D20" s="199"/>
      <c r="E20" s="199"/>
      <c r="F20" s="41" t="s">
        <v>76</v>
      </c>
      <c r="G20" s="42">
        <f>IF(E19&lt;0.125,"NA",IF(0.125&lt;=E19,(0.2*E19)))</f>
        <v>3.7400000000000003E-2</v>
      </c>
      <c r="H20" s="43"/>
      <c r="I20" s="44"/>
      <c r="J20" s="45">
        <v>1.2999999999999999E-2</v>
      </c>
      <c r="K20" s="199"/>
      <c r="L20" s="199"/>
      <c r="M20" s="199"/>
      <c r="N20" s="199"/>
      <c r="O20" s="199"/>
      <c r="P20" s="20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9"/>
      <c r="C21" s="199"/>
      <c r="D21" s="199"/>
      <c r="E21" s="199"/>
      <c r="F21" s="41" t="s">
        <v>77</v>
      </c>
      <c r="G21" s="42">
        <f>+E19*0.4</f>
        <v>7.4800000000000005E-2</v>
      </c>
      <c r="H21" s="43"/>
      <c r="I21" s="44"/>
      <c r="J21" s="45">
        <v>1.4E-2</v>
      </c>
      <c r="K21" s="199"/>
      <c r="L21" s="199"/>
      <c r="M21" s="199"/>
      <c r="N21" s="199"/>
      <c r="O21" s="199"/>
      <c r="P21" s="20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9"/>
      <c r="C22" s="199"/>
      <c r="D22" s="199"/>
      <c r="E22" s="199"/>
      <c r="F22" s="41" t="s">
        <v>78</v>
      </c>
      <c r="G22" s="42">
        <f>IF(E19&lt;0.125,"NA",IF(0.125&lt;=E19,(0.8*E19)))</f>
        <v>0.14960000000000001</v>
      </c>
      <c r="H22" s="43"/>
      <c r="I22" s="44"/>
      <c r="J22" s="45">
        <v>3.7999999999999999E-2</v>
      </c>
      <c r="K22" s="199"/>
      <c r="L22" s="199"/>
      <c r="M22" s="199"/>
      <c r="N22" s="199"/>
      <c r="O22" s="199"/>
      <c r="P22" s="20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20"/>
      <c r="C23" s="200"/>
      <c r="D23" s="200"/>
      <c r="E23" s="200"/>
      <c r="F23" s="46" t="s">
        <v>79</v>
      </c>
      <c r="G23" s="47">
        <f>+E19</f>
        <v>0.187</v>
      </c>
      <c r="H23" s="48"/>
      <c r="I23" s="49"/>
      <c r="J23" s="50">
        <v>3.4000000000000002E-2</v>
      </c>
      <c r="K23" s="200"/>
      <c r="L23" s="200"/>
      <c r="M23" s="200"/>
      <c r="N23" s="200"/>
      <c r="O23" s="200"/>
      <c r="P23" s="20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18">
        <f>+B19+1</f>
        <v>2</v>
      </c>
      <c r="C24" s="221">
        <f>+C19+$N$12</f>
        <v>5</v>
      </c>
      <c r="D24" s="198">
        <v>0.217</v>
      </c>
      <c r="E24" s="198">
        <v>0.252</v>
      </c>
      <c r="F24" s="36" t="s">
        <v>75</v>
      </c>
      <c r="G24" s="37">
        <v>0</v>
      </c>
      <c r="H24" s="38"/>
      <c r="I24" s="39"/>
      <c r="J24" s="40">
        <v>0.11700000000000001</v>
      </c>
      <c r="K24" s="198">
        <f>+IF(E24&lt;=0.12,(J26),(IF(E24&lt;0.16,((J25+2*J26+J27)/4),IF(E24&gt;=0.16,((J24+3*J25+2*J26+3*J27+J28)/10)))))</f>
        <v>0.15959999999999999</v>
      </c>
      <c r="L24" s="198">
        <f>ROUND(+(D19+D24)/2*(C24-C19),3)</f>
        <v>0.215</v>
      </c>
      <c r="M24" s="198">
        <f>ROUND(+K24*L24,4)</f>
        <v>3.4299999999999997E-2</v>
      </c>
      <c r="N24" s="201">
        <f>ROUND(+M24/$M$188*100,2)</f>
        <v>1.1499999999999999</v>
      </c>
      <c r="O24" s="202"/>
      <c r="P24" s="20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9"/>
      <c r="C25" s="199"/>
      <c r="D25" s="199"/>
      <c r="E25" s="199"/>
      <c r="F25" s="41" t="s">
        <v>76</v>
      </c>
      <c r="G25" s="42">
        <f>IF(E24&lt;0.125,"NA",IF(0.125&lt;=E24,(0.2*E24)))</f>
        <v>5.04E-2</v>
      </c>
      <c r="H25" s="43"/>
      <c r="I25" s="44"/>
      <c r="J25" s="45">
        <v>0.152</v>
      </c>
      <c r="K25" s="199"/>
      <c r="L25" s="199"/>
      <c r="M25" s="199"/>
      <c r="N25" s="199"/>
      <c r="O25" s="199"/>
      <c r="P25" s="20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9"/>
      <c r="C26" s="199"/>
      <c r="D26" s="199"/>
      <c r="E26" s="199"/>
      <c r="F26" s="41" t="s">
        <v>77</v>
      </c>
      <c r="G26" s="42">
        <f>+E24*0.4</f>
        <v>0.1008</v>
      </c>
      <c r="H26" s="43"/>
      <c r="I26" s="44"/>
      <c r="J26" s="45">
        <v>0.184</v>
      </c>
      <c r="K26" s="199"/>
      <c r="L26" s="199"/>
      <c r="M26" s="199"/>
      <c r="N26" s="199"/>
      <c r="O26" s="199"/>
      <c r="P26" s="20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9"/>
      <c r="C27" s="199"/>
      <c r="D27" s="199"/>
      <c r="E27" s="199"/>
      <c r="F27" s="41" t="s">
        <v>78</v>
      </c>
      <c r="G27" s="42">
        <f>IF(E24&lt;0.125,"NA",IF(0.125&lt;=E24,(0.8*E24)))</f>
        <v>0.2016</v>
      </c>
      <c r="H27" s="43"/>
      <c r="I27" s="44"/>
      <c r="J27" s="45">
        <v>0.17199999999999999</v>
      </c>
      <c r="K27" s="199"/>
      <c r="L27" s="199"/>
      <c r="M27" s="199"/>
      <c r="N27" s="199"/>
      <c r="O27" s="199"/>
      <c r="P27" s="20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20"/>
      <c r="C28" s="200"/>
      <c r="D28" s="200"/>
      <c r="E28" s="200"/>
      <c r="F28" s="46" t="s">
        <v>79</v>
      </c>
      <c r="G28" s="47">
        <f>+E24</f>
        <v>0.252</v>
      </c>
      <c r="H28" s="48"/>
      <c r="I28" s="49"/>
      <c r="J28" s="50">
        <v>0.13900000000000001</v>
      </c>
      <c r="K28" s="200"/>
      <c r="L28" s="200"/>
      <c r="M28" s="200"/>
      <c r="N28" s="200"/>
      <c r="O28" s="200"/>
      <c r="P28" s="20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18">
        <f>+B24+1</f>
        <v>3</v>
      </c>
      <c r="C29" s="221">
        <f>+C24+$N$12</f>
        <v>6</v>
      </c>
      <c r="D29" s="198">
        <v>0.20300000000000001</v>
      </c>
      <c r="E29" s="198">
        <v>0.223</v>
      </c>
      <c r="F29" s="36" t="s">
        <v>75</v>
      </c>
      <c r="G29" s="37">
        <v>0</v>
      </c>
      <c r="H29" s="38"/>
      <c r="I29" s="39"/>
      <c r="J29" s="40">
        <v>0.20799999999999999</v>
      </c>
      <c r="K29" s="198">
        <f>+IF(E29&lt;=0.12,(J31),(IF(E29&lt;0.16,((J30+2*J31+J32)/4),IF(E29&gt;=0.16,((J29+3*J30+2*J31+3*J32+J33)/10)))))</f>
        <v>0.2346</v>
      </c>
      <c r="L29" s="198">
        <f>ROUND(+(D24+D29)/2*(C29-C24),3)</f>
        <v>0.21</v>
      </c>
      <c r="M29" s="198">
        <f>ROUND(+K29*L29,4)</f>
        <v>4.9299999999999997E-2</v>
      </c>
      <c r="N29" s="201">
        <f>ROUND(+M29/$M$188*100,2)</f>
        <v>1.65</v>
      </c>
      <c r="O29" s="202"/>
      <c r="P29" s="20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9"/>
      <c r="C30" s="199"/>
      <c r="D30" s="199"/>
      <c r="E30" s="199"/>
      <c r="F30" s="41" t="s">
        <v>76</v>
      </c>
      <c r="G30" s="42">
        <f>IF(E29&lt;0.125,"NA",IF(0.125&lt;=E29,(0.2*E29)))</f>
        <v>4.4600000000000001E-2</v>
      </c>
      <c r="H30" s="43"/>
      <c r="I30" s="44"/>
      <c r="J30" s="45">
        <v>0.20399999999999999</v>
      </c>
      <c r="K30" s="199"/>
      <c r="L30" s="199"/>
      <c r="M30" s="199"/>
      <c r="N30" s="199"/>
      <c r="O30" s="199"/>
      <c r="P30" s="20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9"/>
      <c r="C31" s="199"/>
      <c r="D31" s="199"/>
      <c r="E31" s="199"/>
      <c r="F31" s="41" t="s">
        <v>77</v>
      </c>
      <c r="G31" s="42">
        <f>+E29*0.4</f>
        <v>8.9200000000000002E-2</v>
      </c>
      <c r="H31" s="43"/>
      <c r="I31" s="44"/>
      <c r="J31" s="45">
        <v>0.23599999999999999</v>
      </c>
      <c r="K31" s="199"/>
      <c r="L31" s="199"/>
      <c r="M31" s="199"/>
      <c r="N31" s="199"/>
      <c r="O31" s="199"/>
      <c r="P31" s="20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9"/>
      <c r="C32" s="199"/>
      <c r="D32" s="199"/>
      <c r="E32" s="199"/>
      <c r="F32" s="41" t="s">
        <v>78</v>
      </c>
      <c r="G32" s="42">
        <f>IF(E29&lt;0.125,"NA",IF(0.125&lt;=E29,(0.8*E29)))</f>
        <v>0.1784</v>
      </c>
      <c r="H32" s="43"/>
      <c r="I32" s="44"/>
      <c r="J32" s="45">
        <v>0.26300000000000001</v>
      </c>
      <c r="K32" s="199"/>
      <c r="L32" s="199"/>
      <c r="M32" s="199"/>
      <c r="N32" s="199"/>
      <c r="O32" s="199"/>
      <c r="P32" s="20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20"/>
      <c r="C33" s="200"/>
      <c r="D33" s="200"/>
      <c r="E33" s="200"/>
      <c r="F33" s="46" t="s">
        <v>79</v>
      </c>
      <c r="G33" s="47">
        <f>+E29</f>
        <v>0.223</v>
      </c>
      <c r="H33" s="48"/>
      <c r="I33" s="49"/>
      <c r="J33" s="50">
        <v>0.26500000000000001</v>
      </c>
      <c r="K33" s="200"/>
      <c r="L33" s="200"/>
      <c r="M33" s="200"/>
      <c r="N33" s="200"/>
      <c r="O33" s="200"/>
      <c r="P33" s="20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18">
        <f>+B29+1</f>
        <v>4</v>
      </c>
      <c r="C34" s="221">
        <f>+C29+$N$12</f>
        <v>7</v>
      </c>
      <c r="D34" s="198">
        <v>0.19</v>
      </c>
      <c r="E34" s="198">
        <v>0.20899999999999999</v>
      </c>
      <c r="F34" s="36" t="s">
        <v>75</v>
      </c>
      <c r="G34" s="37">
        <v>0</v>
      </c>
      <c r="H34" s="38"/>
      <c r="I34" s="39"/>
      <c r="J34" s="40">
        <v>0.12</v>
      </c>
      <c r="K34" s="198">
        <f>+IF(E34&lt;=0.12,(J36),(IF(E34&lt;0.16,((J35+2*J36+J37)/4),IF(E34&gt;=0.16,((J34+3*J35+2*J36+3*J37+J38)/10)))))</f>
        <v>0.24089999999999998</v>
      </c>
      <c r="L34" s="198">
        <f>ROUND(+(D29+D34)/2*(C34-C29),3)</f>
        <v>0.19700000000000001</v>
      </c>
      <c r="M34" s="198">
        <f>ROUND(+K34*L34,4)</f>
        <v>4.7500000000000001E-2</v>
      </c>
      <c r="N34" s="201">
        <f>ROUND(+M34/$M$188*100,2)</f>
        <v>1.59</v>
      </c>
      <c r="O34" s="202"/>
      <c r="P34" s="20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9"/>
      <c r="C35" s="199"/>
      <c r="D35" s="199"/>
      <c r="E35" s="199"/>
      <c r="F35" s="41" t="s">
        <v>76</v>
      </c>
      <c r="G35" s="42">
        <f>IF(E34&lt;0.125,"NA",IF(0.125&lt;=E34,(0.2*E34)))</f>
        <v>4.1800000000000004E-2</v>
      </c>
      <c r="H35" s="43"/>
      <c r="I35" s="44"/>
      <c r="J35" s="45">
        <v>0.188</v>
      </c>
      <c r="K35" s="199"/>
      <c r="L35" s="199"/>
      <c r="M35" s="199"/>
      <c r="N35" s="199"/>
      <c r="O35" s="199"/>
      <c r="P35" s="20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9"/>
      <c r="C36" s="199"/>
      <c r="D36" s="199"/>
      <c r="E36" s="199"/>
      <c r="F36" s="41" t="s">
        <v>77</v>
      </c>
      <c r="G36" s="42">
        <f>+E34*0.4</f>
        <v>8.3600000000000008E-2</v>
      </c>
      <c r="H36" s="43"/>
      <c r="I36" s="44"/>
      <c r="J36" s="45">
        <v>0.27100000000000002</v>
      </c>
      <c r="K36" s="199"/>
      <c r="L36" s="199"/>
      <c r="M36" s="199"/>
      <c r="N36" s="199"/>
      <c r="O36" s="199"/>
      <c r="P36" s="20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9"/>
      <c r="C37" s="199"/>
      <c r="D37" s="199"/>
      <c r="E37" s="199"/>
      <c r="F37" s="41" t="s">
        <v>78</v>
      </c>
      <c r="G37" s="42">
        <f>IF(E34&lt;0.125,"NA",IF(0.125&lt;=E34,(0.8*E34)))</f>
        <v>0.16720000000000002</v>
      </c>
      <c r="H37" s="43"/>
      <c r="I37" s="44"/>
      <c r="J37" s="45">
        <v>0.29499999999999998</v>
      </c>
      <c r="K37" s="199"/>
      <c r="L37" s="199"/>
      <c r="M37" s="199"/>
      <c r="N37" s="199"/>
      <c r="O37" s="199"/>
      <c r="P37" s="20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20"/>
      <c r="C38" s="200"/>
      <c r="D38" s="200"/>
      <c r="E38" s="200"/>
      <c r="F38" s="46" t="s">
        <v>79</v>
      </c>
      <c r="G38" s="47">
        <f>+E34</f>
        <v>0.20899999999999999</v>
      </c>
      <c r="H38" s="48"/>
      <c r="I38" s="49"/>
      <c r="J38" s="50">
        <v>0.29799999999999999</v>
      </c>
      <c r="K38" s="200"/>
      <c r="L38" s="200"/>
      <c r="M38" s="200"/>
      <c r="N38" s="200"/>
      <c r="O38" s="200"/>
      <c r="P38" s="20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18">
        <f>+B34+1</f>
        <v>5</v>
      </c>
      <c r="C39" s="221">
        <f>+C34+$N$12</f>
        <v>8</v>
      </c>
      <c r="D39" s="198">
        <v>0.186</v>
      </c>
      <c r="E39" s="198">
        <v>0.20599999999999999</v>
      </c>
      <c r="F39" s="36" t="s">
        <v>75</v>
      </c>
      <c r="G39" s="37">
        <v>0</v>
      </c>
      <c r="H39" s="38"/>
      <c r="I39" s="39"/>
      <c r="J39" s="40">
        <v>0.16600000000000001</v>
      </c>
      <c r="K39" s="198">
        <f>+IF(E39&lt;=0.12,(J41),(IF(E39&lt;0.16,((J40+2*J41+J42)/4),IF(E39&gt;=0.16,((J39+3*J40+2*J41+3*J42+J43)/10)))))</f>
        <v>0.27360000000000001</v>
      </c>
      <c r="L39" s="198">
        <f>ROUND(+(D34+D39)/2*(C39-C34),3)</f>
        <v>0.188</v>
      </c>
      <c r="M39" s="198">
        <f>ROUND(+K39*L39,4)</f>
        <v>5.1400000000000001E-2</v>
      </c>
      <c r="N39" s="201">
        <f>ROUND(+M39/$M$188*100,2)</f>
        <v>1.72</v>
      </c>
      <c r="O39" s="202"/>
      <c r="P39" s="20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9"/>
      <c r="C40" s="199"/>
      <c r="D40" s="199"/>
      <c r="E40" s="199"/>
      <c r="F40" s="41" t="s">
        <v>76</v>
      </c>
      <c r="G40" s="42">
        <f>IF(E39&lt;0.125,"NA",IF(0.125&lt;=E39,(0.2*E39)))</f>
        <v>4.1200000000000001E-2</v>
      </c>
      <c r="H40" s="43"/>
      <c r="I40" s="44"/>
      <c r="J40" s="45">
        <v>0.224</v>
      </c>
      <c r="K40" s="199"/>
      <c r="L40" s="199"/>
      <c r="M40" s="199"/>
      <c r="N40" s="199"/>
      <c r="O40" s="199"/>
      <c r="P40" s="20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9"/>
      <c r="C41" s="199"/>
      <c r="D41" s="199"/>
      <c r="E41" s="199"/>
      <c r="F41" s="41" t="s">
        <v>77</v>
      </c>
      <c r="G41" s="42">
        <f>+E39*0.4</f>
        <v>8.2400000000000001E-2</v>
      </c>
      <c r="H41" s="43"/>
      <c r="I41" s="44"/>
      <c r="J41" s="45">
        <v>0.27800000000000002</v>
      </c>
      <c r="K41" s="199"/>
      <c r="L41" s="199"/>
      <c r="M41" s="199"/>
      <c r="N41" s="199"/>
      <c r="O41" s="199"/>
      <c r="P41" s="20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9"/>
      <c r="C42" s="199"/>
      <c r="D42" s="199"/>
      <c r="E42" s="199"/>
      <c r="F42" s="41" t="s">
        <v>78</v>
      </c>
      <c r="G42" s="42">
        <f>IF(E39&lt;0.125,"NA",IF(0.125&lt;=E39,(0.8*E39)))</f>
        <v>0.1648</v>
      </c>
      <c r="H42" s="43"/>
      <c r="I42" s="44"/>
      <c r="J42" s="45">
        <v>0.32800000000000001</v>
      </c>
      <c r="K42" s="199"/>
      <c r="L42" s="199"/>
      <c r="M42" s="199"/>
      <c r="N42" s="199"/>
      <c r="O42" s="199"/>
      <c r="P42" s="20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20"/>
      <c r="C43" s="200"/>
      <c r="D43" s="200"/>
      <c r="E43" s="200"/>
      <c r="F43" s="46" t="s">
        <v>79</v>
      </c>
      <c r="G43" s="47">
        <f>+E39</f>
        <v>0.20599999999999999</v>
      </c>
      <c r="H43" s="48"/>
      <c r="I43" s="49"/>
      <c r="J43" s="50">
        <v>0.35799999999999998</v>
      </c>
      <c r="K43" s="200"/>
      <c r="L43" s="200"/>
      <c r="M43" s="200"/>
      <c r="N43" s="200"/>
      <c r="O43" s="200"/>
      <c r="P43" s="20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18">
        <f>+B39+1</f>
        <v>6</v>
      </c>
      <c r="C44" s="221">
        <f>+C39+$N$12</f>
        <v>9</v>
      </c>
      <c r="D44" s="198">
        <v>0.17699999999999999</v>
      </c>
      <c r="E44" s="198">
        <v>0.19</v>
      </c>
      <c r="F44" s="36" t="s">
        <v>75</v>
      </c>
      <c r="G44" s="37">
        <v>0</v>
      </c>
      <c r="H44" s="38"/>
      <c r="I44" s="39"/>
      <c r="J44" s="40">
        <v>0.186</v>
      </c>
      <c r="K44" s="198">
        <f>+IF(E44&lt;=0.12,(J46),(IF(E44&lt;0.16,((J45+2*J46+J47)/4),IF(E44&gt;=0.16,((J44+3*J45+2*J46+3*J47+J48)/10)))))</f>
        <v>0.2676</v>
      </c>
      <c r="L44" s="198">
        <f>ROUND(+(D39+D44)/2*(C44-C39),3)</f>
        <v>0.182</v>
      </c>
      <c r="M44" s="198">
        <f>ROUND(+K44*L44,4)</f>
        <v>4.87E-2</v>
      </c>
      <c r="N44" s="201">
        <f>ROUND(+M44/$M$188*100,2)</f>
        <v>1.63</v>
      </c>
      <c r="O44" s="202"/>
      <c r="P44" s="20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9"/>
      <c r="C45" s="199"/>
      <c r="D45" s="199"/>
      <c r="E45" s="199"/>
      <c r="F45" s="41" t="s">
        <v>76</v>
      </c>
      <c r="G45" s="42">
        <f>IF(E44&lt;0.125,"NA",IF(0.125&lt;=E44,(0.2*E44)))</f>
        <v>3.8000000000000006E-2</v>
      </c>
      <c r="H45" s="43"/>
      <c r="I45" s="44"/>
      <c r="J45" s="45">
        <v>0.218</v>
      </c>
      <c r="K45" s="199"/>
      <c r="L45" s="199"/>
      <c r="M45" s="199"/>
      <c r="N45" s="199"/>
      <c r="O45" s="199"/>
      <c r="P45" s="20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9"/>
      <c r="C46" s="199"/>
      <c r="D46" s="199"/>
      <c r="E46" s="199"/>
      <c r="F46" s="41" t="s">
        <v>77</v>
      </c>
      <c r="G46" s="42">
        <f>+E44*0.4</f>
        <v>7.6000000000000012E-2</v>
      </c>
      <c r="H46" s="43"/>
      <c r="I46" s="44"/>
      <c r="J46" s="45">
        <v>0.255</v>
      </c>
      <c r="K46" s="199"/>
      <c r="L46" s="199"/>
      <c r="M46" s="199"/>
      <c r="N46" s="199"/>
      <c r="O46" s="199"/>
      <c r="P46" s="20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9"/>
      <c r="C47" s="199"/>
      <c r="D47" s="199"/>
      <c r="E47" s="199"/>
      <c r="F47" s="41" t="s">
        <v>78</v>
      </c>
      <c r="G47" s="42">
        <f>IF(E44&lt;0.125,"NA",IF(0.125&lt;=E44,(0.8*E44)))</f>
        <v>0.15200000000000002</v>
      </c>
      <c r="H47" s="43"/>
      <c r="I47" s="44"/>
      <c r="J47" s="45">
        <v>0.32500000000000001</v>
      </c>
      <c r="K47" s="199"/>
      <c r="L47" s="199"/>
      <c r="M47" s="199"/>
      <c r="N47" s="199"/>
      <c r="O47" s="199"/>
      <c r="P47" s="20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20"/>
      <c r="C48" s="200"/>
      <c r="D48" s="200"/>
      <c r="E48" s="200"/>
      <c r="F48" s="46" t="s">
        <v>79</v>
      </c>
      <c r="G48" s="47">
        <f>+E44</f>
        <v>0.19</v>
      </c>
      <c r="H48" s="48"/>
      <c r="I48" s="49"/>
      <c r="J48" s="50">
        <v>0.35099999999999998</v>
      </c>
      <c r="K48" s="200"/>
      <c r="L48" s="200"/>
      <c r="M48" s="200"/>
      <c r="N48" s="200"/>
      <c r="O48" s="200"/>
      <c r="P48" s="20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18">
        <f>+B44+1</f>
        <v>7</v>
      </c>
      <c r="C49" s="221">
        <f>+C44+$N$12</f>
        <v>10</v>
      </c>
      <c r="D49" s="198">
        <v>0.185</v>
      </c>
      <c r="E49" s="198">
        <v>0.20300000000000001</v>
      </c>
      <c r="F49" s="36" t="s">
        <v>75</v>
      </c>
      <c r="G49" s="37">
        <v>0</v>
      </c>
      <c r="H49" s="38"/>
      <c r="I49" s="39"/>
      <c r="J49" s="40">
        <v>0.25700000000000001</v>
      </c>
      <c r="K49" s="198">
        <f>+IF(E49&lt;=0.12,(J51),(IF(E49&lt;0.16,((J50+2*J51+J52)/4),IF(E49&gt;=0.16,((J49+3*J50+2*J51+3*J52+J53)/10)))))</f>
        <v>0.33300000000000002</v>
      </c>
      <c r="L49" s="198">
        <f>ROUND(+(D44+D49)/2*(C49-C44),3)</f>
        <v>0.18099999999999999</v>
      </c>
      <c r="M49" s="198">
        <f>ROUND(+K49*L49,4)</f>
        <v>6.0299999999999999E-2</v>
      </c>
      <c r="N49" s="201">
        <f>ROUND(+M49/$M$188*100,2)</f>
        <v>2.02</v>
      </c>
      <c r="O49" s="202"/>
      <c r="P49" s="20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9"/>
      <c r="C50" s="199"/>
      <c r="D50" s="199"/>
      <c r="E50" s="199"/>
      <c r="F50" s="41" t="s">
        <v>76</v>
      </c>
      <c r="G50" s="42">
        <f>IF(E49&lt;0.125,"NA",IF(0.125&lt;=E49,(0.2*E49)))</f>
        <v>4.0600000000000004E-2</v>
      </c>
      <c r="H50" s="43"/>
      <c r="I50" s="44"/>
      <c r="J50" s="45">
        <v>0.29799999999999999</v>
      </c>
      <c r="K50" s="199"/>
      <c r="L50" s="199"/>
      <c r="M50" s="199"/>
      <c r="N50" s="199"/>
      <c r="O50" s="199"/>
      <c r="P50" s="20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9"/>
      <c r="C51" s="199"/>
      <c r="D51" s="199"/>
      <c r="E51" s="199"/>
      <c r="F51" s="41" t="s">
        <v>77</v>
      </c>
      <c r="G51" s="42">
        <f>+E49*0.4</f>
        <v>8.1200000000000008E-2</v>
      </c>
      <c r="H51" s="43"/>
      <c r="I51" s="44"/>
      <c r="J51" s="45">
        <v>0.33600000000000002</v>
      </c>
      <c r="K51" s="199"/>
      <c r="L51" s="199"/>
      <c r="M51" s="199"/>
      <c r="N51" s="199"/>
      <c r="O51" s="199"/>
      <c r="P51" s="20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9"/>
      <c r="C52" s="199"/>
      <c r="D52" s="199"/>
      <c r="E52" s="199"/>
      <c r="F52" s="41" t="s">
        <v>78</v>
      </c>
      <c r="G52" s="42">
        <f>IF(E49&lt;0.125,"NA",IF(0.125&lt;=E49,(0.8*E49)))</f>
        <v>0.16240000000000002</v>
      </c>
      <c r="H52" s="43"/>
      <c r="I52" s="44"/>
      <c r="J52" s="45">
        <v>0.38100000000000001</v>
      </c>
      <c r="K52" s="199"/>
      <c r="L52" s="199"/>
      <c r="M52" s="199"/>
      <c r="N52" s="199"/>
      <c r="O52" s="199"/>
      <c r="P52" s="20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20"/>
      <c r="C53" s="200"/>
      <c r="D53" s="200"/>
      <c r="E53" s="200"/>
      <c r="F53" s="46" t="s">
        <v>79</v>
      </c>
      <c r="G53" s="47">
        <f>+E49</f>
        <v>0.20300000000000001</v>
      </c>
      <c r="H53" s="48"/>
      <c r="I53" s="49"/>
      <c r="J53" s="50">
        <v>0.36399999999999999</v>
      </c>
      <c r="K53" s="200"/>
      <c r="L53" s="200"/>
      <c r="M53" s="200"/>
      <c r="N53" s="200"/>
      <c r="O53" s="200"/>
      <c r="P53" s="20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 t="s">
        <v>105</v>
      </c>
      <c r="B54" s="218">
        <f>+B49+1</f>
        <v>8</v>
      </c>
      <c r="C54" s="221">
        <f>+C49+$N$12</f>
        <v>11</v>
      </c>
      <c r="D54" s="198">
        <v>0.22800000000000001</v>
      </c>
      <c r="E54" s="198">
        <v>0.23599999999999999</v>
      </c>
      <c r="F54" s="36" t="s">
        <v>75</v>
      </c>
      <c r="G54" s="37">
        <v>0</v>
      </c>
      <c r="H54" s="38"/>
      <c r="I54" s="39"/>
      <c r="J54" s="40">
        <v>0.13900000000000001</v>
      </c>
      <c r="K54" s="198">
        <f>+IF(E54&lt;=0.12,(J56),(IF(E54&lt;0.16,((J55+2*J56+J57)/4),IF(E54&gt;=0.16,((J54+3*J55+2*J56+3*J57+J58)/10)))))</f>
        <v>0.31050000000000005</v>
      </c>
      <c r="L54" s="198">
        <f>ROUND(+(D49+D54)/2*(C54-C49),3)</f>
        <v>0.20699999999999999</v>
      </c>
      <c r="M54" s="198">
        <f>ROUND(+K54*L54,4)</f>
        <v>6.4299999999999996E-2</v>
      </c>
      <c r="N54" s="201">
        <f>ROUND(+M54/$M$188*100,2)</f>
        <v>2.16</v>
      </c>
      <c r="O54" s="202"/>
      <c r="P54" s="20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9"/>
      <c r="C55" s="199"/>
      <c r="D55" s="199"/>
      <c r="E55" s="199"/>
      <c r="F55" s="41" t="s">
        <v>76</v>
      </c>
      <c r="G55" s="42">
        <f>IF(E54&lt;0.125,"NA",IF(0.125&lt;=E54,(0.2*E54)))</f>
        <v>4.7199999999999999E-2</v>
      </c>
      <c r="H55" s="43"/>
      <c r="I55" s="44"/>
      <c r="J55" s="45">
        <v>0.25700000000000001</v>
      </c>
      <c r="K55" s="199"/>
      <c r="L55" s="199"/>
      <c r="M55" s="199"/>
      <c r="N55" s="199"/>
      <c r="O55" s="199"/>
      <c r="P55" s="20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9"/>
      <c r="C56" s="199"/>
      <c r="D56" s="199"/>
      <c r="E56" s="199"/>
      <c r="F56" s="41" t="s">
        <v>77</v>
      </c>
      <c r="G56" s="42">
        <f>+E54*0.4</f>
        <v>9.4399999999999998E-2</v>
      </c>
      <c r="H56" s="43"/>
      <c r="I56" s="44"/>
      <c r="J56" s="45">
        <v>0.28199999999999997</v>
      </c>
      <c r="K56" s="199"/>
      <c r="L56" s="199"/>
      <c r="M56" s="199"/>
      <c r="N56" s="199"/>
      <c r="O56" s="199"/>
      <c r="P56" s="20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9"/>
      <c r="C57" s="199"/>
      <c r="D57" s="199"/>
      <c r="E57" s="199"/>
      <c r="F57" s="41" t="s">
        <v>78</v>
      </c>
      <c r="G57" s="42">
        <f>IF(E54&lt;0.125,"NA",IF(0.125&lt;=E54,(0.8*E54)))</f>
        <v>0.1888</v>
      </c>
      <c r="H57" s="43"/>
      <c r="I57" s="44"/>
      <c r="J57" s="45">
        <v>0.42199999999999999</v>
      </c>
      <c r="K57" s="199"/>
      <c r="L57" s="199"/>
      <c r="M57" s="199"/>
      <c r="N57" s="199"/>
      <c r="O57" s="199"/>
      <c r="P57" s="20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20"/>
      <c r="C58" s="200"/>
      <c r="D58" s="200"/>
      <c r="E58" s="200"/>
      <c r="F58" s="46" t="s">
        <v>79</v>
      </c>
      <c r="G58" s="47">
        <f>+E54</f>
        <v>0.23599999999999999</v>
      </c>
      <c r="H58" s="48"/>
      <c r="I58" s="49"/>
      <c r="J58" s="50">
        <v>0.36499999999999999</v>
      </c>
      <c r="K58" s="200"/>
      <c r="L58" s="200"/>
      <c r="M58" s="200"/>
      <c r="N58" s="200"/>
      <c r="O58" s="200"/>
      <c r="P58" s="20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18">
        <f>+B54+1</f>
        <v>9</v>
      </c>
      <c r="C59" s="221">
        <f>+C54+$N$12</f>
        <v>12</v>
      </c>
      <c r="D59" s="198">
        <v>0.26800000000000002</v>
      </c>
      <c r="E59" s="198">
        <v>0.22900000000000001</v>
      </c>
      <c r="F59" s="36" t="s">
        <v>75</v>
      </c>
      <c r="G59" s="37">
        <v>0</v>
      </c>
      <c r="H59" s="38"/>
      <c r="I59" s="39"/>
      <c r="J59" s="40">
        <v>0.26100000000000001</v>
      </c>
      <c r="K59" s="198">
        <f>+IF(E59&lt;=0.12,(J61),(IF(E59&lt;0.16,((J60+2*J61+J62)/4),IF(E59&gt;=0.16,((J59+3*J60+2*J61+3*J62+J63)/10)))))</f>
        <v>0.44309999999999999</v>
      </c>
      <c r="L59" s="198">
        <f>ROUND(+(D54+D59)/2*(C59-C54),3)</f>
        <v>0.248</v>
      </c>
      <c r="M59" s="198">
        <f>ROUND(+K59*L59,4)</f>
        <v>0.1099</v>
      </c>
      <c r="N59" s="201">
        <f>ROUND(+M59/$M$188*100,2)</f>
        <v>3.68</v>
      </c>
      <c r="O59" s="202"/>
      <c r="P59" s="20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9"/>
      <c r="C60" s="199"/>
      <c r="D60" s="199"/>
      <c r="E60" s="199"/>
      <c r="F60" s="41" t="s">
        <v>76</v>
      </c>
      <c r="G60" s="42">
        <f>IF(E59&lt;0.125,"NA",IF(0.125&lt;=E59,(0.2*E59)))</f>
        <v>4.5800000000000007E-2</v>
      </c>
      <c r="H60" s="43"/>
      <c r="I60" s="44"/>
      <c r="J60" s="45">
        <v>0.42299999999999999</v>
      </c>
      <c r="K60" s="199"/>
      <c r="L60" s="199"/>
      <c r="M60" s="199"/>
      <c r="N60" s="199"/>
      <c r="O60" s="199"/>
      <c r="P60" s="20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9"/>
      <c r="C61" s="199"/>
      <c r="D61" s="199"/>
      <c r="E61" s="199"/>
      <c r="F61" s="41" t="s">
        <v>77</v>
      </c>
      <c r="G61" s="42">
        <f>+E59*0.4</f>
        <v>9.1600000000000015E-2</v>
      </c>
      <c r="H61" s="43"/>
      <c r="I61" s="44"/>
      <c r="J61" s="45">
        <v>0.45100000000000001</v>
      </c>
      <c r="K61" s="199"/>
      <c r="L61" s="199"/>
      <c r="M61" s="199"/>
      <c r="N61" s="199"/>
      <c r="O61" s="199"/>
      <c r="P61" s="20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9"/>
      <c r="C62" s="199"/>
      <c r="D62" s="199"/>
      <c r="E62" s="199"/>
      <c r="F62" s="41" t="s">
        <v>78</v>
      </c>
      <c r="G62" s="42">
        <f>IF(E59&lt;0.125,"NA",IF(0.125&lt;=E59,(0.8*E59)))</f>
        <v>0.18320000000000003</v>
      </c>
      <c r="H62" s="43"/>
      <c r="I62" s="44"/>
      <c r="J62" s="45">
        <v>0.51200000000000001</v>
      </c>
      <c r="K62" s="199"/>
      <c r="L62" s="199"/>
      <c r="M62" s="199"/>
      <c r="N62" s="199"/>
      <c r="O62" s="199"/>
      <c r="P62" s="20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20"/>
      <c r="C63" s="200"/>
      <c r="D63" s="200"/>
      <c r="E63" s="200"/>
      <c r="F63" s="46" t="s">
        <v>79</v>
      </c>
      <c r="G63" s="47">
        <f>+E59</f>
        <v>0.22900000000000001</v>
      </c>
      <c r="H63" s="48"/>
      <c r="I63" s="49"/>
      <c r="J63" s="50">
        <v>0.46300000000000002</v>
      </c>
      <c r="K63" s="200"/>
      <c r="L63" s="200"/>
      <c r="M63" s="200"/>
      <c r="N63" s="200"/>
      <c r="O63" s="200"/>
      <c r="P63" s="20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18">
        <f>+B59+1</f>
        <v>10</v>
      </c>
      <c r="C64" s="221">
        <f>+C59+$N$12</f>
        <v>13</v>
      </c>
      <c r="D64" s="198">
        <v>0.27</v>
      </c>
      <c r="E64" s="198">
        <v>0.28699999999999998</v>
      </c>
      <c r="F64" s="36" t="s">
        <v>75</v>
      </c>
      <c r="G64" s="37">
        <v>0</v>
      </c>
      <c r="H64" s="38"/>
      <c r="I64" s="39"/>
      <c r="J64" s="40">
        <v>0.25</v>
      </c>
      <c r="K64" s="198">
        <f>+IF(E64&lt;=0.12,(J66),(IF(E64&lt;0.16,((J65+2*J66+J67)/4),IF(E64&gt;=0.16,((J64+3*J65+2*J66+3*J67+J68)/10)))))</f>
        <v>0.40090000000000003</v>
      </c>
      <c r="L64" s="198">
        <f>ROUND(+(D59+D64)/2*(C64-C59),3)</f>
        <v>0.26900000000000002</v>
      </c>
      <c r="M64" s="198">
        <f>ROUND(+K64*L64,4)</f>
        <v>0.10780000000000001</v>
      </c>
      <c r="N64" s="201">
        <f>ROUND(+M64/$M$188*100,2)</f>
        <v>3.61</v>
      </c>
      <c r="O64" s="202"/>
      <c r="P64" s="20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9"/>
      <c r="C65" s="199"/>
      <c r="D65" s="199"/>
      <c r="E65" s="199"/>
      <c r="F65" s="41" t="s">
        <v>76</v>
      </c>
      <c r="G65" s="42">
        <f>IF(E64&lt;0.125,"NA",IF(0.125&lt;=E64,(0.2*E64)))</f>
        <v>5.74E-2</v>
      </c>
      <c r="H65" s="43"/>
      <c r="I65" s="44"/>
      <c r="J65" s="45">
        <v>0.312</v>
      </c>
      <c r="K65" s="199"/>
      <c r="L65" s="199"/>
      <c r="M65" s="199"/>
      <c r="N65" s="199"/>
      <c r="O65" s="199"/>
      <c r="P65" s="20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9"/>
      <c r="C66" s="199"/>
      <c r="D66" s="199"/>
      <c r="E66" s="199"/>
      <c r="F66" s="41" t="s">
        <v>77</v>
      </c>
      <c r="G66" s="42">
        <f>+E64*0.4</f>
        <v>0.1148</v>
      </c>
      <c r="H66" s="43"/>
      <c r="I66" s="44"/>
      <c r="J66" s="45">
        <v>0.38300000000000001</v>
      </c>
      <c r="K66" s="199"/>
      <c r="L66" s="199"/>
      <c r="M66" s="199"/>
      <c r="N66" s="199"/>
      <c r="O66" s="199"/>
      <c r="P66" s="20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9"/>
      <c r="C67" s="199"/>
      <c r="D67" s="199"/>
      <c r="E67" s="199"/>
      <c r="F67" s="41" t="s">
        <v>78</v>
      </c>
      <c r="G67" s="42">
        <f>IF(E64&lt;0.125,"NA",IF(0.125&lt;=E64,(0.8*E64)))</f>
        <v>0.2296</v>
      </c>
      <c r="H67" s="43"/>
      <c r="I67" s="44"/>
      <c r="J67" s="45">
        <v>0.52300000000000002</v>
      </c>
      <c r="K67" s="199"/>
      <c r="L67" s="199"/>
      <c r="M67" s="199"/>
      <c r="N67" s="199"/>
      <c r="O67" s="199"/>
      <c r="P67" s="20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20"/>
      <c r="C68" s="200"/>
      <c r="D68" s="200"/>
      <c r="E68" s="200"/>
      <c r="F68" s="46" t="s">
        <v>79</v>
      </c>
      <c r="G68" s="47">
        <f>+E64</f>
        <v>0.28699999999999998</v>
      </c>
      <c r="H68" s="48"/>
      <c r="I68" s="49"/>
      <c r="J68" s="50">
        <v>0.48799999999999999</v>
      </c>
      <c r="K68" s="200"/>
      <c r="L68" s="200"/>
      <c r="M68" s="200"/>
      <c r="N68" s="200"/>
      <c r="O68" s="200"/>
      <c r="P68" s="20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18">
        <f>+B64+1</f>
        <v>11</v>
      </c>
      <c r="C69" s="221">
        <f>+C64+$N$12</f>
        <v>14</v>
      </c>
      <c r="D69" s="198">
        <v>0.22900000000000001</v>
      </c>
      <c r="E69" s="198">
        <v>0.246</v>
      </c>
      <c r="F69" s="36" t="s">
        <v>75</v>
      </c>
      <c r="G69" s="37">
        <v>0</v>
      </c>
      <c r="H69" s="38"/>
      <c r="I69" s="39"/>
      <c r="J69" s="40">
        <v>0.39</v>
      </c>
      <c r="K69" s="198">
        <f>+IF(E69&lt;=0.12,(J71),(IF(E69&lt;0.16,((J70+2*J71+J72)/4),IF(E69&gt;=0.16,((J69+3*J70+2*J71+3*J72+J73)/10)))))</f>
        <v>0.52649999999999997</v>
      </c>
      <c r="L69" s="198">
        <f>ROUND(+(D64+D69)/2*(C69-C64),3)</f>
        <v>0.25</v>
      </c>
      <c r="M69" s="198">
        <f>ROUND(+K69*L69,4)</f>
        <v>0.13159999999999999</v>
      </c>
      <c r="N69" s="201">
        <f>ROUND(+M69/$M$188*100,2)</f>
        <v>4.41</v>
      </c>
      <c r="O69" s="202"/>
      <c r="P69" s="20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9"/>
      <c r="C70" s="199"/>
      <c r="D70" s="199"/>
      <c r="E70" s="199"/>
      <c r="F70" s="41" t="s">
        <v>76</v>
      </c>
      <c r="G70" s="42">
        <f>IF(E69&lt;0.125,"NA",IF(0.125&lt;=E69,(0.2*E69)))</f>
        <v>4.9200000000000001E-2</v>
      </c>
      <c r="H70" s="43"/>
      <c r="I70" s="44"/>
      <c r="J70" s="45">
        <v>0.51</v>
      </c>
      <c r="K70" s="199"/>
      <c r="L70" s="199"/>
      <c r="M70" s="199"/>
      <c r="N70" s="199"/>
      <c r="O70" s="199"/>
      <c r="P70" s="20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9"/>
      <c r="C71" s="199"/>
      <c r="D71" s="199"/>
      <c r="E71" s="199"/>
      <c r="F71" s="41" t="s">
        <v>77</v>
      </c>
      <c r="G71" s="42">
        <f>+E69*0.4</f>
        <v>9.8400000000000001E-2</v>
      </c>
      <c r="H71" s="43"/>
      <c r="I71" s="44"/>
      <c r="J71" s="45">
        <v>0.54500000000000004</v>
      </c>
      <c r="K71" s="199"/>
      <c r="L71" s="199"/>
      <c r="M71" s="199"/>
      <c r="N71" s="199"/>
      <c r="O71" s="199"/>
      <c r="P71" s="20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9"/>
      <c r="C72" s="199"/>
      <c r="D72" s="199"/>
      <c r="E72" s="199"/>
      <c r="F72" s="41" t="s">
        <v>78</v>
      </c>
      <c r="G72" s="42">
        <f>IF(E69&lt;0.125,"NA",IF(0.125&lt;=E69,(0.8*E69)))</f>
        <v>0.1968</v>
      </c>
      <c r="H72" s="43"/>
      <c r="I72" s="44"/>
      <c r="J72" s="45">
        <v>0.59099999999999997</v>
      </c>
      <c r="K72" s="199"/>
      <c r="L72" s="199"/>
      <c r="M72" s="199"/>
      <c r="N72" s="199"/>
      <c r="O72" s="199"/>
      <c r="P72" s="20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20"/>
      <c r="C73" s="200"/>
      <c r="D73" s="200"/>
      <c r="E73" s="200"/>
      <c r="F73" s="46" t="s">
        <v>79</v>
      </c>
      <c r="G73" s="47">
        <f>+E69</f>
        <v>0.246</v>
      </c>
      <c r="H73" s="48"/>
      <c r="I73" s="49"/>
      <c r="J73" s="50">
        <v>0.48199999999999998</v>
      </c>
      <c r="K73" s="200"/>
      <c r="L73" s="200"/>
      <c r="M73" s="200"/>
      <c r="N73" s="200"/>
      <c r="O73" s="200"/>
      <c r="P73" s="20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18">
        <f>+B69+1</f>
        <v>12</v>
      </c>
      <c r="C74" s="221">
        <f>+C69+$N$12</f>
        <v>15</v>
      </c>
      <c r="D74" s="198">
        <v>0.23</v>
      </c>
      <c r="E74" s="198">
        <v>0.22700000000000001</v>
      </c>
      <c r="F74" s="36" t="s">
        <v>75</v>
      </c>
      <c r="G74" s="37">
        <v>0</v>
      </c>
      <c r="H74" s="38"/>
      <c r="I74" s="39"/>
      <c r="J74" s="40">
        <v>0.35</v>
      </c>
      <c r="K74" s="198">
        <f>+IF(E74&lt;=0.12,(J76),(IF(E74&lt;0.16,((J75+2*J76+J77)/4),IF(E74&gt;=0.16,((J74+3*J75+2*J76+3*J77+J78)/10)))))</f>
        <v>0.48880000000000001</v>
      </c>
      <c r="L74" s="198">
        <f>ROUND(+(D69+D74)/2*(C74-C69),3)</f>
        <v>0.23</v>
      </c>
      <c r="M74" s="198">
        <f>ROUND(+K74*L74,4)</f>
        <v>0.1124</v>
      </c>
      <c r="N74" s="201">
        <f>ROUND(+M74/$M$188*100,2)</f>
        <v>3.77</v>
      </c>
      <c r="O74" s="202"/>
      <c r="P74" s="20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9"/>
      <c r="C75" s="199"/>
      <c r="D75" s="199"/>
      <c r="E75" s="199"/>
      <c r="F75" s="41" t="s">
        <v>76</v>
      </c>
      <c r="G75" s="42">
        <f>IF(E74&lt;0.125,"NA",IF(0.125&lt;=E74,(0.2*E74)))</f>
        <v>4.5400000000000003E-2</v>
      </c>
      <c r="H75" s="43"/>
      <c r="I75" s="44"/>
      <c r="J75" s="45">
        <v>0.42799999999999999</v>
      </c>
      <c r="K75" s="199"/>
      <c r="L75" s="199"/>
      <c r="M75" s="199"/>
      <c r="N75" s="199"/>
      <c r="O75" s="199"/>
      <c r="P75" s="20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9"/>
      <c r="C76" s="199"/>
      <c r="D76" s="199"/>
      <c r="E76" s="199"/>
      <c r="F76" s="41" t="s">
        <v>77</v>
      </c>
      <c r="G76" s="42">
        <f>+E74*0.4</f>
        <v>9.0800000000000006E-2</v>
      </c>
      <c r="H76" s="43"/>
      <c r="I76" s="44"/>
      <c r="J76" s="45">
        <v>0.56599999999999995</v>
      </c>
      <c r="K76" s="199"/>
      <c r="L76" s="199"/>
      <c r="M76" s="199"/>
      <c r="N76" s="199"/>
      <c r="O76" s="199"/>
      <c r="P76" s="20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9"/>
      <c r="C77" s="199"/>
      <c r="D77" s="199"/>
      <c r="E77" s="199"/>
      <c r="F77" s="41" t="s">
        <v>78</v>
      </c>
      <c r="G77" s="42">
        <f>IF(E74&lt;0.125,"NA",IF(0.125&lt;=E74,(0.8*E74)))</f>
        <v>0.18160000000000001</v>
      </c>
      <c r="H77" s="43"/>
      <c r="I77" s="44"/>
      <c r="J77" s="45">
        <v>0.54300000000000004</v>
      </c>
      <c r="K77" s="199"/>
      <c r="L77" s="199"/>
      <c r="M77" s="199"/>
      <c r="N77" s="199"/>
      <c r="O77" s="199"/>
      <c r="P77" s="20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20"/>
      <c r="C78" s="200"/>
      <c r="D78" s="200"/>
      <c r="E78" s="200"/>
      <c r="F78" s="46" t="s">
        <v>79</v>
      </c>
      <c r="G78" s="47">
        <f>+E74</f>
        <v>0.22700000000000001</v>
      </c>
      <c r="H78" s="48"/>
      <c r="I78" s="49"/>
      <c r="J78" s="50">
        <v>0.49299999999999999</v>
      </c>
      <c r="K78" s="200"/>
      <c r="L78" s="200"/>
      <c r="M78" s="200"/>
      <c r="N78" s="200"/>
      <c r="O78" s="200"/>
      <c r="P78" s="20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18">
        <f>+B74+1</f>
        <v>13</v>
      </c>
      <c r="C79" s="221">
        <f>+C74+$N$12</f>
        <v>16</v>
      </c>
      <c r="D79" s="198">
        <v>0.26</v>
      </c>
      <c r="E79" s="198">
        <v>0.25</v>
      </c>
      <c r="F79" s="36" t="s">
        <v>75</v>
      </c>
      <c r="G79" s="37">
        <v>0</v>
      </c>
      <c r="H79" s="38"/>
      <c r="I79" s="39"/>
      <c r="J79" s="40">
        <v>0.33800000000000002</v>
      </c>
      <c r="K79" s="198">
        <f>+IF(E79&lt;=0.12,(J81),(IF(E79&lt;0.16,((J80+2*J81+J82)/4),IF(E79&gt;=0.16,((J79+3*J80+2*J81+3*J82+J83)/10)))))</f>
        <v>0.37109999999999999</v>
      </c>
      <c r="L79" s="198">
        <f>ROUND(+(D74+D79)/2*(C79-C74),3)</f>
        <v>0.245</v>
      </c>
      <c r="M79" s="198">
        <f>ROUND(+K79*L79,4)</f>
        <v>9.0899999999999995E-2</v>
      </c>
      <c r="N79" s="201">
        <f>ROUND(+M79/$M$188*100,2)</f>
        <v>3.05</v>
      </c>
      <c r="O79" s="202"/>
      <c r="P79" s="20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9"/>
      <c r="C80" s="199"/>
      <c r="D80" s="199"/>
      <c r="E80" s="199"/>
      <c r="F80" s="41" t="s">
        <v>76</v>
      </c>
      <c r="G80" s="42">
        <f>IF(E79&lt;0.125,"NA",IF(0.125&lt;=E79,(0.2*E79)))</f>
        <v>0.05</v>
      </c>
      <c r="H80" s="43"/>
      <c r="I80" s="44"/>
      <c r="J80" s="45">
        <v>0.30199999999999999</v>
      </c>
      <c r="K80" s="199"/>
      <c r="L80" s="199"/>
      <c r="M80" s="199"/>
      <c r="N80" s="199"/>
      <c r="O80" s="199"/>
      <c r="P80" s="20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9"/>
      <c r="C81" s="199"/>
      <c r="D81" s="199"/>
      <c r="E81" s="199"/>
      <c r="F81" s="41" t="s">
        <v>77</v>
      </c>
      <c r="G81" s="42">
        <f>+E79*0.4</f>
        <v>0.1</v>
      </c>
      <c r="H81" s="43"/>
      <c r="I81" s="44"/>
      <c r="J81" s="45">
        <v>0.39200000000000002</v>
      </c>
      <c r="K81" s="199"/>
      <c r="L81" s="199"/>
      <c r="M81" s="199"/>
      <c r="N81" s="199"/>
      <c r="O81" s="199"/>
      <c r="P81" s="20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9"/>
      <c r="C82" s="199"/>
      <c r="D82" s="199"/>
      <c r="E82" s="199"/>
      <c r="F82" s="41" t="s">
        <v>78</v>
      </c>
      <c r="G82" s="42">
        <f>IF(E79&lt;0.125,"NA",IF(0.125&lt;=E79,(0.8*E79)))</f>
        <v>0.2</v>
      </c>
      <c r="H82" s="43"/>
      <c r="I82" s="44"/>
      <c r="J82" s="45">
        <v>0.45600000000000002</v>
      </c>
      <c r="K82" s="199"/>
      <c r="L82" s="199"/>
      <c r="M82" s="199"/>
      <c r="N82" s="199"/>
      <c r="O82" s="199"/>
      <c r="P82" s="20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20"/>
      <c r="C83" s="200"/>
      <c r="D83" s="200"/>
      <c r="E83" s="200"/>
      <c r="F83" s="46" t="s">
        <v>79</v>
      </c>
      <c r="G83" s="47">
        <f>+E79</f>
        <v>0.25</v>
      </c>
      <c r="H83" s="48"/>
      <c r="I83" s="49"/>
      <c r="J83" s="50">
        <v>0.315</v>
      </c>
      <c r="K83" s="200"/>
      <c r="L83" s="200"/>
      <c r="M83" s="200"/>
      <c r="N83" s="200"/>
      <c r="O83" s="200"/>
      <c r="P83" s="20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18">
        <f>+B79+1</f>
        <v>14</v>
      </c>
      <c r="C84" s="221">
        <f>+C79+$N$12</f>
        <v>17</v>
      </c>
      <c r="D84" s="198">
        <v>0.245</v>
      </c>
      <c r="E84" s="198">
        <v>0.22</v>
      </c>
      <c r="F84" s="36" t="s">
        <v>75</v>
      </c>
      <c r="G84" s="37">
        <v>0</v>
      </c>
      <c r="H84" s="38"/>
      <c r="I84" s="39"/>
      <c r="J84" s="40">
        <v>0.20799999999999999</v>
      </c>
      <c r="K84" s="198">
        <f>+IF(E84&lt;=0.12,(J86),(IF(E84&lt;0.16,((J85+2*J86+J87)/4),IF(E84&gt;=0.16,((J84+3*J85+2*J86+3*J87+J88)/10)))))</f>
        <v>0.43559999999999999</v>
      </c>
      <c r="L84" s="198">
        <f>ROUND(+(D79+D84)/2*(C84-C79),3)</f>
        <v>0.253</v>
      </c>
      <c r="M84" s="198">
        <f>ROUND(+K84*L84,4)</f>
        <v>0.11020000000000001</v>
      </c>
      <c r="N84" s="201">
        <f>ROUND(+M84/$M$188*100,2)</f>
        <v>3.69</v>
      </c>
      <c r="O84" s="202"/>
      <c r="P84" s="203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9"/>
      <c r="C85" s="199"/>
      <c r="D85" s="199"/>
      <c r="E85" s="199"/>
      <c r="F85" s="41" t="s">
        <v>76</v>
      </c>
      <c r="G85" s="42">
        <f>IF(E84&lt;0.125,"NA",IF(0.125&lt;=E84,(0.2*E84)))</f>
        <v>4.4000000000000004E-2</v>
      </c>
      <c r="H85" s="43"/>
      <c r="I85" s="44"/>
      <c r="J85" s="45">
        <v>0.41</v>
      </c>
      <c r="K85" s="199"/>
      <c r="L85" s="199"/>
      <c r="M85" s="199"/>
      <c r="N85" s="199"/>
      <c r="O85" s="199"/>
      <c r="P85" s="204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9"/>
      <c r="C86" s="199"/>
      <c r="D86" s="199"/>
      <c r="E86" s="199"/>
      <c r="F86" s="41" t="s">
        <v>77</v>
      </c>
      <c r="G86" s="42">
        <f>+E84*0.4</f>
        <v>8.8000000000000009E-2</v>
      </c>
      <c r="H86" s="43"/>
      <c r="I86" s="44"/>
      <c r="J86" s="45">
        <v>0.46800000000000003</v>
      </c>
      <c r="K86" s="199"/>
      <c r="L86" s="199"/>
      <c r="M86" s="199"/>
      <c r="N86" s="199"/>
      <c r="O86" s="199"/>
      <c r="P86" s="204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9"/>
      <c r="C87" s="199"/>
      <c r="D87" s="199"/>
      <c r="E87" s="199"/>
      <c r="F87" s="41" t="s">
        <v>78</v>
      </c>
      <c r="G87" s="42">
        <f>IF(E84&lt;0.125,"NA",IF(0.125&lt;=E84,(0.8*E84)))</f>
        <v>0.17600000000000002</v>
      </c>
      <c r="H87" s="43"/>
      <c r="I87" s="44"/>
      <c r="J87" s="45">
        <v>0.5</v>
      </c>
      <c r="K87" s="199"/>
      <c r="L87" s="199"/>
      <c r="M87" s="199"/>
      <c r="N87" s="199"/>
      <c r="O87" s="199"/>
      <c r="P87" s="204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20"/>
      <c r="C88" s="200"/>
      <c r="D88" s="200"/>
      <c r="E88" s="200"/>
      <c r="F88" s="46" t="s">
        <v>79</v>
      </c>
      <c r="G88" s="47">
        <f>+E84</f>
        <v>0.22</v>
      </c>
      <c r="H88" s="48"/>
      <c r="I88" s="49"/>
      <c r="J88" s="50">
        <v>0.48199999999999998</v>
      </c>
      <c r="K88" s="200"/>
      <c r="L88" s="200"/>
      <c r="M88" s="200"/>
      <c r="N88" s="200"/>
      <c r="O88" s="200"/>
      <c r="P88" s="205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 t="s">
        <v>105</v>
      </c>
      <c r="B89" s="218">
        <f>+B84+1</f>
        <v>15</v>
      </c>
      <c r="C89" s="221">
        <f>+C84+$N$12</f>
        <v>18</v>
      </c>
      <c r="D89" s="198">
        <v>0.223</v>
      </c>
      <c r="E89" s="198">
        <v>0.26</v>
      </c>
      <c r="F89" s="36" t="s">
        <v>75</v>
      </c>
      <c r="G89" s="37">
        <v>0</v>
      </c>
      <c r="H89" s="38"/>
      <c r="I89" s="39"/>
      <c r="J89" s="40">
        <v>0.30199999999999999</v>
      </c>
      <c r="K89" s="198">
        <f>+IF(E89&lt;=0.12,(J91),(IF(E89&lt;0.16,((J90+2*J91+J92)/4),IF(E89&gt;=0.16,((J89+3*J90+2*J91+3*J92+J93)/10)))))</f>
        <v>0.41269999999999996</v>
      </c>
      <c r="L89" s="198">
        <f>ROUND(+(D84+D89)/2*(C89-C84),3)</f>
        <v>0.23400000000000001</v>
      </c>
      <c r="M89" s="198">
        <f>ROUND(+K89*L89,4)</f>
        <v>9.6600000000000005E-2</v>
      </c>
      <c r="N89" s="201">
        <f>ROUND(+M89/$M$188*100,2)</f>
        <v>3.24</v>
      </c>
      <c r="O89" s="202"/>
      <c r="P89" s="203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9"/>
      <c r="C90" s="199"/>
      <c r="D90" s="199"/>
      <c r="E90" s="199"/>
      <c r="F90" s="41" t="s">
        <v>76</v>
      </c>
      <c r="G90" s="42">
        <f>IF(E89&lt;0.125,"NA",IF(0.125&lt;=E89,(0.2*E89)))</f>
        <v>5.2000000000000005E-2</v>
      </c>
      <c r="H90" s="43"/>
      <c r="I90" s="44"/>
      <c r="J90" s="45">
        <v>0.33300000000000002</v>
      </c>
      <c r="K90" s="199"/>
      <c r="L90" s="199"/>
      <c r="M90" s="199"/>
      <c r="N90" s="199"/>
      <c r="O90" s="199"/>
      <c r="P90" s="204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9"/>
      <c r="C91" s="199"/>
      <c r="D91" s="199"/>
      <c r="E91" s="199"/>
      <c r="F91" s="41" t="s">
        <v>77</v>
      </c>
      <c r="G91" s="42">
        <f>+E89*0.4</f>
        <v>0.10400000000000001</v>
      </c>
      <c r="H91" s="43"/>
      <c r="I91" s="44"/>
      <c r="J91" s="45">
        <v>0.434</v>
      </c>
      <c r="K91" s="199"/>
      <c r="L91" s="199"/>
      <c r="M91" s="199"/>
      <c r="N91" s="199"/>
      <c r="O91" s="199"/>
      <c r="P91" s="204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9"/>
      <c r="C92" s="199"/>
      <c r="D92" s="199"/>
      <c r="E92" s="199"/>
      <c r="F92" s="41" t="s">
        <v>78</v>
      </c>
      <c r="G92" s="42">
        <f>IF(E89&lt;0.125,"NA",IF(0.125&lt;=E89,(0.8*E89)))</f>
        <v>0.20800000000000002</v>
      </c>
      <c r="H92" s="43"/>
      <c r="I92" s="44"/>
      <c r="J92" s="45">
        <v>0.48899999999999999</v>
      </c>
      <c r="K92" s="199"/>
      <c r="L92" s="199"/>
      <c r="M92" s="199"/>
      <c r="N92" s="199"/>
      <c r="O92" s="199"/>
      <c r="P92" s="204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20"/>
      <c r="C93" s="200"/>
      <c r="D93" s="200"/>
      <c r="E93" s="200"/>
      <c r="F93" s="46" t="s">
        <v>79</v>
      </c>
      <c r="G93" s="47">
        <f>+E89</f>
        <v>0.26</v>
      </c>
      <c r="H93" s="48"/>
      <c r="I93" s="49"/>
      <c r="J93" s="50">
        <v>0.49099999999999999</v>
      </c>
      <c r="K93" s="200"/>
      <c r="L93" s="200"/>
      <c r="M93" s="200"/>
      <c r="N93" s="200"/>
      <c r="O93" s="200"/>
      <c r="P93" s="205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18">
        <f>+B89+1</f>
        <v>16</v>
      </c>
      <c r="C94" s="221">
        <f>+C89+$N$12</f>
        <v>19</v>
      </c>
      <c r="D94" s="198">
        <v>0.3</v>
      </c>
      <c r="E94" s="198">
        <v>0.255</v>
      </c>
      <c r="F94" s="36" t="s">
        <v>75</v>
      </c>
      <c r="G94" s="37">
        <v>0</v>
      </c>
      <c r="H94" s="38"/>
      <c r="I94" s="39"/>
      <c r="J94" s="40">
        <v>0.38100000000000001</v>
      </c>
      <c r="K94" s="198">
        <f>+IF(E94&lt;=0.12,(J96),(IF(E94&lt;0.16,((J95+2*J96+J97)/4),IF(E94&gt;=0.16,((J94+3*J95+2*J96+3*J97+J98)/10)))))</f>
        <v>0.50209999999999999</v>
      </c>
      <c r="L94" s="198">
        <f>ROUND(+(D89+D94)/2*(C94-C89),3)</f>
        <v>0.26200000000000001</v>
      </c>
      <c r="M94" s="198">
        <f>ROUND(+K94*L94,4)</f>
        <v>0.13159999999999999</v>
      </c>
      <c r="N94" s="201">
        <f>ROUND(+M94/$M$188*100,2)</f>
        <v>4.41</v>
      </c>
      <c r="O94" s="202"/>
      <c r="P94" s="203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9"/>
      <c r="C95" s="199"/>
      <c r="D95" s="199"/>
      <c r="E95" s="199"/>
      <c r="F95" s="41" t="s">
        <v>76</v>
      </c>
      <c r="G95" s="42">
        <f>IF(E94&lt;0.125,"NA",IF(0.125&lt;=E94,(0.2*E94)))</f>
        <v>5.1000000000000004E-2</v>
      </c>
      <c r="H95" s="43"/>
      <c r="I95" s="44"/>
      <c r="J95" s="45">
        <v>0.46700000000000003</v>
      </c>
      <c r="K95" s="199"/>
      <c r="L95" s="199"/>
      <c r="M95" s="199"/>
      <c r="N95" s="199"/>
      <c r="O95" s="199"/>
      <c r="P95" s="204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9"/>
      <c r="C96" s="199"/>
      <c r="D96" s="199"/>
      <c r="E96" s="199"/>
      <c r="F96" s="41" t="s">
        <v>77</v>
      </c>
      <c r="G96" s="42">
        <f>+E94*0.4</f>
        <v>0.10200000000000001</v>
      </c>
      <c r="H96" s="43"/>
      <c r="I96" s="44"/>
      <c r="J96" s="45">
        <v>0.50900000000000001</v>
      </c>
      <c r="K96" s="199"/>
      <c r="L96" s="199"/>
      <c r="M96" s="199"/>
      <c r="N96" s="199"/>
      <c r="O96" s="199"/>
      <c r="P96" s="204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9"/>
      <c r="C97" s="199"/>
      <c r="D97" s="199"/>
      <c r="E97" s="199"/>
      <c r="F97" s="41" t="s">
        <v>78</v>
      </c>
      <c r="G97" s="42">
        <f>IF(E94&lt;0.125,"NA",IF(0.125&lt;=E94,(0.8*E94)))</f>
        <v>0.20400000000000001</v>
      </c>
      <c r="H97" s="43"/>
      <c r="I97" s="44"/>
      <c r="J97" s="45">
        <v>0.57299999999999995</v>
      </c>
      <c r="K97" s="199"/>
      <c r="L97" s="199"/>
      <c r="M97" s="199"/>
      <c r="N97" s="199"/>
      <c r="O97" s="199"/>
      <c r="P97" s="204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20"/>
      <c r="C98" s="200"/>
      <c r="D98" s="200"/>
      <c r="E98" s="200"/>
      <c r="F98" s="46" t="s">
        <v>79</v>
      </c>
      <c r="G98" s="47">
        <f>+E94</f>
        <v>0.255</v>
      </c>
      <c r="H98" s="48"/>
      <c r="I98" s="49"/>
      <c r="J98" s="50">
        <v>0.502</v>
      </c>
      <c r="K98" s="200"/>
      <c r="L98" s="200"/>
      <c r="M98" s="200"/>
      <c r="N98" s="200"/>
      <c r="O98" s="200"/>
      <c r="P98" s="205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18">
        <f>+B94+1</f>
        <v>17</v>
      </c>
      <c r="C99" s="221">
        <f>+C94+$N$12</f>
        <v>20</v>
      </c>
      <c r="D99" s="198">
        <v>0.30499999999999999</v>
      </c>
      <c r="E99" s="198">
        <v>0.31</v>
      </c>
      <c r="F99" s="36" t="s">
        <v>75</v>
      </c>
      <c r="G99" s="37">
        <v>0</v>
      </c>
      <c r="H99" s="38"/>
      <c r="I99" s="39"/>
      <c r="J99" s="40">
        <v>0.28999999999999998</v>
      </c>
      <c r="K99" s="198">
        <f>+IF(E99&lt;=0.12,(J101),(IF(E99&lt;0.16,((J100+2*J101+J102)/4),IF(E99&gt;=0.16,((J99+3*J100+2*J101+3*J102+J103)/10)))))</f>
        <v>0.40340000000000009</v>
      </c>
      <c r="L99" s="198">
        <f>ROUND(+(D94+D99)/2*(C99-C94),3)</f>
        <v>0.30299999999999999</v>
      </c>
      <c r="M99" s="198">
        <f>ROUND(+K99*L99,4)</f>
        <v>0.1222</v>
      </c>
      <c r="N99" s="201">
        <f>ROUND(+M99/$M$188*100,2)</f>
        <v>4.0999999999999996</v>
      </c>
      <c r="O99" s="202"/>
      <c r="P99" s="203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9"/>
      <c r="C100" s="199"/>
      <c r="D100" s="199"/>
      <c r="E100" s="199"/>
      <c r="F100" s="41" t="s">
        <v>76</v>
      </c>
      <c r="G100" s="42">
        <f>IF(E99&lt;0.125,"NA",IF(0.125&lt;=E99,(0.2*E99)))</f>
        <v>6.2E-2</v>
      </c>
      <c r="H100" s="43"/>
      <c r="I100" s="44"/>
      <c r="J100" s="45">
        <v>0.33900000000000002</v>
      </c>
      <c r="K100" s="199"/>
      <c r="L100" s="199"/>
      <c r="M100" s="199"/>
      <c r="N100" s="199"/>
      <c r="O100" s="199"/>
      <c r="P100" s="204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9"/>
      <c r="C101" s="199"/>
      <c r="D101" s="199"/>
      <c r="E101" s="199"/>
      <c r="F101" s="41" t="s">
        <v>77</v>
      </c>
      <c r="G101" s="42">
        <f>+E99*0.4</f>
        <v>0.124</v>
      </c>
      <c r="H101" s="43"/>
      <c r="I101" s="44"/>
      <c r="J101" s="45">
        <v>0.41</v>
      </c>
      <c r="K101" s="199"/>
      <c r="L101" s="199"/>
      <c r="M101" s="199"/>
      <c r="N101" s="199"/>
      <c r="O101" s="199"/>
      <c r="P101" s="204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9"/>
      <c r="C102" s="199"/>
      <c r="D102" s="199"/>
      <c r="E102" s="199"/>
      <c r="F102" s="41" t="s">
        <v>78</v>
      </c>
      <c r="G102" s="42">
        <f>IF(E99&lt;0.125,"NA",IF(0.125&lt;=E99,(0.8*E99)))</f>
        <v>0.248</v>
      </c>
      <c r="H102" s="43"/>
      <c r="I102" s="44"/>
      <c r="J102" s="45">
        <v>0.46600000000000003</v>
      </c>
      <c r="K102" s="199"/>
      <c r="L102" s="199"/>
      <c r="M102" s="199"/>
      <c r="N102" s="199"/>
      <c r="O102" s="199"/>
      <c r="P102" s="204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20"/>
      <c r="C103" s="200"/>
      <c r="D103" s="200"/>
      <c r="E103" s="200"/>
      <c r="F103" s="46" t="s">
        <v>79</v>
      </c>
      <c r="G103" s="47">
        <f>+E99</f>
        <v>0.31</v>
      </c>
      <c r="H103" s="48"/>
      <c r="I103" s="49"/>
      <c r="J103" s="50">
        <v>0.50900000000000001</v>
      </c>
      <c r="K103" s="200"/>
      <c r="L103" s="200"/>
      <c r="M103" s="200"/>
      <c r="N103" s="200"/>
      <c r="O103" s="200"/>
      <c r="P103" s="205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18">
        <f>+B99+1</f>
        <v>18</v>
      </c>
      <c r="C104" s="221">
        <f>+C99+$N$12</f>
        <v>21</v>
      </c>
      <c r="D104" s="198">
        <v>0.23400000000000001</v>
      </c>
      <c r="E104" s="198">
        <v>0.255</v>
      </c>
      <c r="F104" s="36" t="s">
        <v>75</v>
      </c>
      <c r="G104" s="37">
        <v>0</v>
      </c>
      <c r="H104" s="38"/>
      <c r="I104" s="39"/>
      <c r="J104" s="40">
        <v>0.32200000000000001</v>
      </c>
      <c r="K104" s="198">
        <f>+IF(E104&lt;=0.12,(J106),(IF(E104&lt;0.16,((J105+2*J106+J107)/4),IF(E104&gt;=0.16,((J104+3*J105+2*J106+3*J107+J108)/10)))))</f>
        <v>0.41400000000000003</v>
      </c>
      <c r="L104" s="198">
        <f>ROUND(+(D99+D104)/2*(C104-C99),3)</f>
        <v>0.27</v>
      </c>
      <c r="M104" s="198">
        <f>ROUND(+K104*L104,4)</f>
        <v>0.1118</v>
      </c>
      <c r="N104" s="201">
        <f>ROUND(+M104/$M$188*100,2)</f>
        <v>3.75</v>
      </c>
      <c r="O104" s="202"/>
      <c r="P104" s="203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9"/>
      <c r="C105" s="199"/>
      <c r="D105" s="199"/>
      <c r="E105" s="199"/>
      <c r="F105" s="41" t="s">
        <v>76</v>
      </c>
      <c r="G105" s="42">
        <f>IF(E104&lt;0.125,"NA",IF(0.125&lt;=E104,(0.2*E104)))</f>
        <v>5.1000000000000004E-2</v>
      </c>
      <c r="H105" s="43"/>
      <c r="I105" s="44"/>
      <c r="J105" s="45">
        <v>0.29299999999999998</v>
      </c>
      <c r="K105" s="199"/>
      <c r="L105" s="199"/>
      <c r="M105" s="199"/>
      <c r="N105" s="199"/>
      <c r="O105" s="199"/>
      <c r="P105" s="204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9"/>
      <c r="C106" s="199"/>
      <c r="D106" s="199"/>
      <c r="E106" s="199"/>
      <c r="F106" s="41" t="s">
        <v>77</v>
      </c>
      <c r="G106" s="42">
        <f>+E104*0.4</f>
        <v>0.10200000000000001</v>
      </c>
      <c r="H106" s="43"/>
      <c r="I106" s="44"/>
      <c r="J106" s="45">
        <v>0.505</v>
      </c>
      <c r="K106" s="199"/>
      <c r="L106" s="199"/>
      <c r="M106" s="199"/>
      <c r="N106" s="199"/>
      <c r="O106" s="199"/>
      <c r="P106" s="204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9"/>
      <c r="C107" s="199"/>
      <c r="D107" s="199"/>
      <c r="E107" s="199"/>
      <c r="F107" s="41" t="s">
        <v>78</v>
      </c>
      <c r="G107" s="42">
        <f>IF(E104&lt;0.125,"NA",IF(0.125&lt;=E104,(0.8*E104)))</f>
        <v>0.20400000000000001</v>
      </c>
      <c r="H107" s="43"/>
      <c r="I107" s="44"/>
      <c r="J107" s="45">
        <v>0.48799999999999999</v>
      </c>
      <c r="K107" s="199"/>
      <c r="L107" s="199"/>
      <c r="M107" s="199"/>
      <c r="N107" s="199"/>
      <c r="O107" s="199"/>
      <c r="P107" s="204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20"/>
      <c r="C108" s="200"/>
      <c r="D108" s="200"/>
      <c r="E108" s="200"/>
      <c r="F108" s="46" t="s">
        <v>79</v>
      </c>
      <c r="G108" s="47">
        <f>+E104</f>
        <v>0.255</v>
      </c>
      <c r="H108" s="48"/>
      <c r="I108" s="49"/>
      <c r="J108" s="50">
        <v>0.46500000000000002</v>
      </c>
      <c r="K108" s="200"/>
      <c r="L108" s="200"/>
      <c r="M108" s="200"/>
      <c r="N108" s="200"/>
      <c r="O108" s="200"/>
      <c r="P108" s="205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18">
        <f>+B104+1</f>
        <v>19</v>
      </c>
      <c r="C109" s="221">
        <f>+C104+$N$12</f>
        <v>22</v>
      </c>
      <c r="D109" s="198">
        <v>0.312</v>
      </c>
      <c r="E109" s="198">
        <v>0.27</v>
      </c>
      <c r="F109" s="36" t="s">
        <v>75</v>
      </c>
      <c r="G109" s="37">
        <v>0</v>
      </c>
      <c r="H109" s="38"/>
      <c r="I109" s="39"/>
      <c r="J109" s="40">
        <v>0.32300000000000001</v>
      </c>
      <c r="K109" s="198">
        <f>+IF(E109&lt;=0.12,(J111),(IF(E109&lt;0.16,((J110+2*J111+J112)/4),IF(E109&gt;=0.16,((J109+3*J110+2*J111+3*J112+J113)/10)))))</f>
        <v>0.46790000000000004</v>
      </c>
      <c r="L109" s="198">
        <f>ROUND(+(D104+D109)/2*(C109-C104),3)</f>
        <v>0.27300000000000002</v>
      </c>
      <c r="M109" s="198">
        <f>ROUND(+K109*L109,4)</f>
        <v>0.12770000000000001</v>
      </c>
      <c r="N109" s="201">
        <f>ROUND(+M109/$M$188*100,2)</f>
        <v>4.28</v>
      </c>
      <c r="O109" s="202"/>
      <c r="P109" s="203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19"/>
      <c r="C110" s="199"/>
      <c r="D110" s="199"/>
      <c r="E110" s="199"/>
      <c r="F110" s="41" t="s">
        <v>76</v>
      </c>
      <c r="G110" s="42">
        <f>IF(E109&lt;0.125,"NA",IF(0.125&lt;=E109,(0.2*E109)))</f>
        <v>5.4000000000000006E-2</v>
      </c>
      <c r="H110" s="43"/>
      <c r="I110" s="44"/>
      <c r="J110" s="45">
        <v>0.45900000000000002</v>
      </c>
      <c r="K110" s="199"/>
      <c r="L110" s="199"/>
      <c r="M110" s="199"/>
      <c r="N110" s="199"/>
      <c r="O110" s="199"/>
      <c r="P110" s="204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19"/>
      <c r="C111" s="199"/>
      <c r="D111" s="199"/>
      <c r="E111" s="199"/>
      <c r="F111" s="41" t="s">
        <v>77</v>
      </c>
      <c r="G111" s="42">
        <f>+E109*0.4</f>
        <v>0.10800000000000001</v>
      </c>
      <c r="H111" s="43"/>
      <c r="I111" s="44"/>
      <c r="J111" s="45">
        <v>0.50900000000000001</v>
      </c>
      <c r="K111" s="199"/>
      <c r="L111" s="199"/>
      <c r="M111" s="199"/>
      <c r="N111" s="199"/>
      <c r="O111" s="199"/>
      <c r="P111" s="204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19"/>
      <c r="C112" s="199"/>
      <c r="D112" s="199"/>
      <c r="E112" s="199"/>
      <c r="F112" s="41" t="s">
        <v>78</v>
      </c>
      <c r="G112" s="42">
        <f>IF(E109&lt;0.125,"NA",IF(0.125&lt;=E109,(0.8*E109)))</f>
        <v>0.21600000000000003</v>
      </c>
      <c r="H112" s="43"/>
      <c r="I112" s="44"/>
      <c r="J112" s="45">
        <v>0.51600000000000001</v>
      </c>
      <c r="K112" s="199"/>
      <c r="L112" s="199"/>
      <c r="M112" s="199"/>
      <c r="N112" s="199"/>
      <c r="O112" s="199"/>
      <c r="P112" s="204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20"/>
      <c r="C113" s="200"/>
      <c r="D113" s="200"/>
      <c r="E113" s="200"/>
      <c r="F113" s="46" t="s">
        <v>79</v>
      </c>
      <c r="G113" s="47">
        <f>+E109</f>
        <v>0.27</v>
      </c>
      <c r="H113" s="48"/>
      <c r="I113" s="49"/>
      <c r="J113" s="50">
        <v>0.41299999999999998</v>
      </c>
      <c r="K113" s="200"/>
      <c r="L113" s="200"/>
      <c r="M113" s="200"/>
      <c r="N113" s="200"/>
      <c r="O113" s="200"/>
      <c r="P113" s="205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5" customFormat="1" ht="13.5" customHeight="1" x14ac:dyDescent="0.25">
      <c r="A114" s="27"/>
      <c r="B114" s="218">
        <f>+B109+1</f>
        <v>20</v>
      </c>
      <c r="C114" s="221">
        <f>+C109+$N$12</f>
        <v>23</v>
      </c>
      <c r="D114" s="198">
        <v>0.28499999999999998</v>
      </c>
      <c r="E114" s="198">
        <v>4.7E-2</v>
      </c>
      <c r="F114" s="36" t="s">
        <v>75</v>
      </c>
      <c r="G114" s="37">
        <v>0</v>
      </c>
      <c r="H114" s="38"/>
      <c r="I114" s="39"/>
      <c r="J114" s="40"/>
      <c r="K114" s="198">
        <f>+IF(E114&lt;=0.12,(J116),(IF(E114&lt;0.16,((J115+2*J116+J117)/4),IF(E114&gt;=0.16,((J114+3*J115+2*J116+3*J117+J118)/10)))))</f>
        <v>0.35199999999999998</v>
      </c>
      <c r="L114" s="198">
        <f>ROUND(+(D109+D114)/2*(C114-C109),3)</f>
        <v>0.29899999999999999</v>
      </c>
      <c r="M114" s="198">
        <f>ROUND(+K114*L114,4)</f>
        <v>0.1052</v>
      </c>
      <c r="N114" s="201">
        <f>ROUND(+M114/$M$188*100,2)</f>
        <v>3.53</v>
      </c>
      <c r="O114" s="202"/>
      <c r="P114" s="203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s="35" customFormat="1" ht="13.5" customHeight="1" x14ac:dyDescent="0.25">
      <c r="A115" s="27"/>
      <c r="B115" s="219"/>
      <c r="C115" s="199"/>
      <c r="D115" s="199"/>
      <c r="E115" s="199"/>
      <c r="F115" s="41" t="s">
        <v>76</v>
      </c>
      <c r="G115" s="42" t="str">
        <f>IF(E114&lt;0.125,"NA",IF(0.125&lt;=E114,(0.2*E114)))</f>
        <v>NA</v>
      </c>
      <c r="H115" s="43"/>
      <c r="I115" s="44"/>
      <c r="J115" s="45"/>
      <c r="K115" s="199"/>
      <c r="L115" s="199"/>
      <c r="M115" s="199"/>
      <c r="N115" s="199"/>
      <c r="O115" s="199"/>
      <c r="P115" s="204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s="35" customFormat="1" ht="13.5" customHeight="1" x14ac:dyDescent="0.25">
      <c r="A116" s="27"/>
      <c r="B116" s="219"/>
      <c r="C116" s="199"/>
      <c r="D116" s="199"/>
      <c r="E116" s="199"/>
      <c r="F116" s="41" t="s">
        <v>77</v>
      </c>
      <c r="G116" s="42">
        <f>+E114*0.4</f>
        <v>1.8800000000000001E-2</v>
      </c>
      <c r="H116" s="43"/>
      <c r="I116" s="44"/>
      <c r="J116" s="45">
        <v>0.35199999999999998</v>
      </c>
      <c r="K116" s="199"/>
      <c r="L116" s="199"/>
      <c r="M116" s="199"/>
      <c r="N116" s="199"/>
      <c r="O116" s="199"/>
      <c r="P116" s="204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s="35" customFormat="1" ht="13.5" customHeight="1" x14ac:dyDescent="0.25">
      <c r="A117" s="27"/>
      <c r="B117" s="219"/>
      <c r="C117" s="199"/>
      <c r="D117" s="199"/>
      <c r="E117" s="199"/>
      <c r="F117" s="41" t="s">
        <v>78</v>
      </c>
      <c r="G117" s="42" t="str">
        <f>IF(E114&lt;0.125,"NA",IF(0.125&lt;=E114,(0.8*E114)))</f>
        <v>NA</v>
      </c>
      <c r="H117" s="43"/>
      <c r="I117" s="44"/>
      <c r="J117" s="45"/>
      <c r="K117" s="199"/>
      <c r="L117" s="199"/>
      <c r="M117" s="199"/>
      <c r="N117" s="199"/>
      <c r="O117" s="199"/>
      <c r="P117" s="204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s="35" customFormat="1" ht="13.5" customHeight="1" thickBot="1" x14ac:dyDescent="0.3">
      <c r="A118" s="27"/>
      <c r="B118" s="220"/>
      <c r="C118" s="200"/>
      <c r="D118" s="200"/>
      <c r="E118" s="200"/>
      <c r="F118" s="46" t="s">
        <v>79</v>
      </c>
      <c r="G118" s="47">
        <f>+E114</f>
        <v>4.7E-2</v>
      </c>
      <c r="H118" s="48"/>
      <c r="I118" s="49"/>
      <c r="J118" s="50">
        <v>0.46200000000000002</v>
      </c>
      <c r="K118" s="200"/>
      <c r="L118" s="200"/>
      <c r="M118" s="200"/>
      <c r="N118" s="200"/>
      <c r="O118" s="200"/>
      <c r="P118" s="205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s="35" customFormat="1" ht="13.5" customHeight="1" x14ac:dyDescent="0.25">
      <c r="A119" s="27"/>
      <c r="B119" s="218">
        <f>+B114+1</f>
        <v>21</v>
      </c>
      <c r="C119" s="221">
        <f>+C114+$N$12</f>
        <v>24</v>
      </c>
      <c r="D119" s="198">
        <v>0.33</v>
      </c>
      <c r="E119" s="198">
        <v>0.29499999999999998</v>
      </c>
      <c r="F119" s="36" t="s">
        <v>75</v>
      </c>
      <c r="G119" s="37">
        <v>0</v>
      </c>
      <c r="H119" s="38"/>
      <c r="I119" s="39"/>
      <c r="J119" s="40">
        <v>0.17599999999999999</v>
      </c>
      <c r="K119" s="198">
        <f>+IF(E119&lt;=0.12,(J121),(IF(E119&lt;0.16,((J120+2*J121+J122)/4),IF(E119&gt;=0.16,((J119+3*J120+2*J121+3*J122+J123)/10)))))</f>
        <v>0.42820000000000003</v>
      </c>
      <c r="L119" s="198">
        <f>ROUND(+(D114+D119)/2*(C119-C114),3)</f>
        <v>0.308</v>
      </c>
      <c r="M119" s="198">
        <f>ROUND(+K119*L119,4)</f>
        <v>0.13189999999999999</v>
      </c>
      <c r="N119" s="201">
        <f>ROUND(+M119/$M$188*100,2)</f>
        <v>4.42</v>
      </c>
      <c r="O119" s="202"/>
      <c r="P119" s="203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s="35" customFormat="1" ht="13.5" customHeight="1" x14ac:dyDescent="0.25">
      <c r="A120" s="27"/>
      <c r="B120" s="219"/>
      <c r="C120" s="199"/>
      <c r="D120" s="199"/>
      <c r="E120" s="199"/>
      <c r="F120" s="41" t="s">
        <v>76</v>
      </c>
      <c r="G120" s="42">
        <f>IF(E119&lt;0.125,"NA",IF(0.125&lt;=E119,(0.2*E119)))</f>
        <v>5.8999999999999997E-2</v>
      </c>
      <c r="H120" s="43"/>
      <c r="I120" s="44"/>
      <c r="J120" s="45">
        <v>0.379</v>
      </c>
      <c r="K120" s="199"/>
      <c r="L120" s="199"/>
      <c r="M120" s="199"/>
      <c r="N120" s="199"/>
      <c r="O120" s="199"/>
      <c r="P120" s="204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s="35" customFormat="1" ht="13.5" customHeight="1" x14ac:dyDescent="0.25">
      <c r="A121" s="27"/>
      <c r="B121" s="219"/>
      <c r="C121" s="199"/>
      <c r="D121" s="199"/>
      <c r="E121" s="199"/>
      <c r="F121" s="41" t="s">
        <v>77</v>
      </c>
      <c r="G121" s="42">
        <f>+E119*0.4</f>
        <v>0.11799999999999999</v>
      </c>
      <c r="H121" s="43"/>
      <c r="I121" s="44"/>
      <c r="J121" s="45">
        <v>0.45</v>
      </c>
      <c r="K121" s="199"/>
      <c r="L121" s="199"/>
      <c r="M121" s="199"/>
      <c r="N121" s="199"/>
      <c r="O121" s="199"/>
      <c r="P121" s="204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s="35" customFormat="1" ht="13.5" customHeight="1" x14ac:dyDescent="0.25">
      <c r="A122" s="27"/>
      <c r="B122" s="219"/>
      <c r="C122" s="199"/>
      <c r="D122" s="199"/>
      <c r="E122" s="199"/>
      <c r="F122" s="41" t="s">
        <v>78</v>
      </c>
      <c r="G122" s="42">
        <f>IF(E119&lt;0.125,"NA",IF(0.125&lt;=E119,(0.8*E119)))</f>
        <v>0.23599999999999999</v>
      </c>
      <c r="H122" s="43"/>
      <c r="I122" s="44"/>
      <c r="J122" s="45">
        <v>0.52500000000000002</v>
      </c>
      <c r="K122" s="199"/>
      <c r="L122" s="199"/>
      <c r="M122" s="199"/>
      <c r="N122" s="199"/>
      <c r="O122" s="199"/>
      <c r="P122" s="204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s="35" customFormat="1" ht="13.5" customHeight="1" thickBot="1" x14ac:dyDescent="0.3">
      <c r="A123" s="27"/>
      <c r="B123" s="220"/>
      <c r="C123" s="200"/>
      <c r="D123" s="200"/>
      <c r="E123" s="200"/>
      <c r="F123" s="46" t="s">
        <v>79</v>
      </c>
      <c r="G123" s="47">
        <f>+E119</f>
        <v>0.29499999999999998</v>
      </c>
      <c r="H123" s="48"/>
      <c r="I123" s="49"/>
      <c r="J123" s="50">
        <v>0.49399999999999999</v>
      </c>
      <c r="K123" s="200"/>
      <c r="L123" s="200"/>
      <c r="M123" s="200"/>
      <c r="N123" s="200"/>
      <c r="O123" s="200"/>
      <c r="P123" s="205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s="35" customFormat="1" ht="13.5" customHeight="1" x14ac:dyDescent="0.25">
      <c r="A124" s="27"/>
      <c r="B124" s="218">
        <f>+B119+1</f>
        <v>22</v>
      </c>
      <c r="C124" s="221">
        <f>+C119+$N$12</f>
        <v>25</v>
      </c>
      <c r="D124" s="198">
        <v>0.36</v>
      </c>
      <c r="E124" s="198">
        <v>0.34499999999999997</v>
      </c>
      <c r="F124" s="36" t="s">
        <v>75</v>
      </c>
      <c r="G124" s="37">
        <v>0</v>
      </c>
      <c r="H124" s="38"/>
      <c r="I124" s="39"/>
      <c r="J124" s="40">
        <v>0.13300000000000001</v>
      </c>
      <c r="K124" s="198">
        <f>+IF(E124&lt;=0.12,(J126),(IF(E124&lt;0.16,((J125+2*J126+J127)/4),IF(E124&gt;=0.16,((J124+3*J125+2*J126+3*J127+J128)/10)))))</f>
        <v>0.3463</v>
      </c>
      <c r="L124" s="198">
        <f>ROUND(+(D119+D124)/2*(C124-C119),3)</f>
        <v>0.34499999999999997</v>
      </c>
      <c r="M124" s="198">
        <f>ROUND(+K124*L124,4)</f>
        <v>0.1195</v>
      </c>
      <c r="N124" s="201">
        <f>ROUND(+M124/$M$188*100,2)</f>
        <v>4.01</v>
      </c>
      <c r="O124" s="202"/>
      <c r="P124" s="203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s="35" customFormat="1" ht="13.5" customHeight="1" x14ac:dyDescent="0.25">
      <c r="A125" s="27"/>
      <c r="B125" s="219"/>
      <c r="C125" s="199"/>
      <c r="D125" s="199"/>
      <c r="E125" s="199"/>
      <c r="F125" s="41" t="s">
        <v>76</v>
      </c>
      <c r="G125" s="42">
        <f>IF(E124&lt;0.125,"NA",IF(0.125&lt;=E124,(0.2*E124)))</f>
        <v>6.8999999999999992E-2</v>
      </c>
      <c r="H125" s="43"/>
      <c r="I125" s="44"/>
      <c r="J125" s="45">
        <v>0.23699999999999999</v>
      </c>
      <c r="K125" s="199"/>
      <c r="L125" s="199"/>
      <c r="M125" s="199"/>
      <c r="N125" s="199"/>
      <c r="O125" s="199"/>
      <c r="P125" s="204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s="35" customFormat="1" ht="13.5" customHeight="1" x14ac:dyDescent="0.25">
      <c r="A126" s="27"/>
      <c r="B126" s="219"/>
      <c r="C126" s="199"/>
      <c r="D126" s="199"/>
      <c r="E126" s="199"/>
      <c r="F126" s="41" t="s">
        <v>77</v>
      </c>
      <c r="G126" s="42">
        <f>+E124*0.4</f>
        <v>0.13799999999999998</v>
      </c>
      <c r="H126" s="43"/>
      <c r="I126" s="44"/>
      <c r="J126" s="45">
        <v>0.313</v>
      </c>
      <c r="K126" s="199"/>
      <c r="L126" s="199"/>
      <c r="M126" s="199"/>
      <c r="N126" s="199"/>
      <c r="O126" s="199"/>
      <c r="P126" s="204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s="35" customFormat="1" ht="13.5" customHeight="1" x14ac:dyDescent="0.25">
      <c r="A127" s="27"/>
      <c r="B127" s="219"/>
      <c r="C127" s="199"/>
      <c r="D127" s="199"/>
      <c r="E127" s="199"/>
      <c r="F127" s="41" t="s">
        <v>78</v>
      </c>
      <c r="G127" s="42">
        <f>IF(E124&lt;0.125,"NA",IF(0.125&lt;=E124,(0.8*E124)))</f>
        <v>0.27599999999999997</v>
      </c>
      <c r="H127" s="43"/>
      <c r="I127" s="44"/>
      <c r="J127" s="45">
        <v>0.502</v>
      </c>
      <c r="K127" s="199"/>
      <c r="L127" s="199"/>
      <c r="M127" s="199"/>
      <c r="N127" s="199"/>
      <c r="O127" s="199"/>
      <c r="P127" s="204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s="35" customFormat="1" ht="13.5" customHeight="1" thickBot="1" x14ac:dyDescent="0.3">
      <c r="A128" s="27"/>
      <c r="B128" s="220"/>
      <c r="C128" s="200"/>
      <c r="D128" s="200"/>
      <c r="E128" s="200"/>
      <c r="F128" s="46" t="s">
        <v>79</v>
      </c>
      <c r="G128" s="47">
        <f>+E124</f>
        <v>0.34499999999999997</v>
      </c>
      <c r="H128" s="48"/>
      <c r="I128" s="49"/>
      <c r="J128" s="50">
        <v>0.48699999999999999</v>
      </c>
      <c r="K128" s="200"/>
      <c r="L128" s="200"/>
      <c r="M128" s="200"/>
      <c r="N128" s="200"/>
      <c r="O128" s="200"/>
      <c r="P128" s="205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s="35" customFormat="1" ht="13.5" customHeight="1" x14ac:dyDescent="0.25">
      <c r="A129" s="27"/>
      <c r="B129" s="218">
        <f>+B124+1</f>
        <v>23</v>
      </c>
      <c r="C129" s="221">
        <f>+C124+$N$12</f>
        <v>26</v>
      </c>
      <c r="D129" s="198">
        <v>0.42299999999999999</v>
      </c>
      <c r="E129" s="198">
        <v>0.36299999999999999</v>
      </c>
      <c r="F129" s="36" t="s">
        <v>75</v>
      </c>
      <c r="G129" s="37">
        <v>0</v>
      </c>
      <c r="H129" s="38"/>
      <c r="I129" s="39"/>
      <c r="J129" s="40">
        <v>0.41</v>
      </c>
      <c r="K129" s="198">
        <f>+IF(E129&lt;=0.12,(J131),(IF(E129&lt;0.16,((J130+2*J131+J132)/4),IF(E129&gt;=0.16,((J129+3*J130+2*J131+3*J132+J133)/10)))))</f>
        <v>0.44230000000000003</v>
      </c>
      <c r="L129" s="198">
        <f>ROUND(+(D124+D129)/2*(C129-C124),3)</f>
        <v>0.39200000000000002</v>
      </c>
      <c r="M129" s="198">
        <f>ROUND(+K129*L129,4)</f>
        <v>0.1734</v>
      </c>
      <c r="N129" s="201">
        <f>ROUND(+M129/$M$188*100,2)</f>
        <v>5.81</v>
      </c>
      <c r="O129" s="202"/>
      <c r="P129" s="203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s="35" customFormat="1" ht="13.5" customHeight="1" x14ac:dyDescent="0.25">
      <c r="A130" s="27"/>
      <c r="B130" s="219"/>
      <c r="C130" s="199"/>
      <c r="D130" s="199"/>
      <c r="E130" s="199"/>
      <c r="F130" s="41" t="s">
        <v>76</v>
      </c>
      <c r="G130" s="42">
        <f>IF(E129&lt;0.125,"NA",IF(0.125&lt;=E129,(0.2*E129)))</f>
        <v>7.2599999999999998E-2</v>
      </c>
      <c r="H130" s="43"/>
      <c r="I130" s="44"/>
      <c r="J130" s="45">
        <v>0.42599999999999999</v>
      </c>
      <c r="K130" s="199"/>
      <c r="L130" s="199"/>
      <c r="M130" s="199"/>
      <c r="N130" s="199"/>
      <c r="O130" s="199"/>
      <c r="P130" s="204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s="35" customFormat="1" ht="13.5" customHeight="1" x14ac:dyDescent="0.25">
      <c r="A131" s="27"/>
      <c r="B131" s="219"/>
      <c r="C131" s="199"/>
      <c r="D131" s="199"/>
      <c r="E131" s="199"/>
      <c r="F131" s="41" t="s">
        <v>77</v>
      </c>
      <c r="G131" s="42">
        <f>+E129*0.4</f>
        <v>0.1452</v>
      </c>
      <c r="H131" s="43"/>
      <c r="I131" s="44"/>
      <c r="J131" s="45">
        <v>0.46700000000000003</v>
      </c>
      <c r="K131" s="199"/>
      <c r="L131" s="199"/>
      <c r="M131" s="199"/>
      <c r="N131" s="199"/>
      <c r="O131" s="199"/>
      <c r="P131" s="204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s="35" customFormat="1" ht="13.5" customHeight="1" x14ac:dyDescent="0.25">
      <c r="A132" s="27"/>
      <c r="B132" s="219"/>
      <c r="C132" s="199"/>
      <c r="D132" s="199"/>
      <c r="E132" s="199"/>
      <c r="F132" s="41" t="s">
        <v>78</v>
      </c>
      <c r="G132" s="42">
        <f>IF(E129&lt;0.125,"NA",IF(0.125&lt;=E129,(0.8*E129)))</f>
        <v>0.29039999999999999</v>
      </c>
      <c r="H132" s="43"/>
      <c r="I132" s="44"/>
      <c r="J132" s="45">
        <v>0.47599999999999998</v>
      </c>
      <c r="K132" s="199"/>
      <c r="L132" s="199"/>
      <c r="M132" s="199"/>
      <c r="N132" s="199"/>
      <c r="O132" s="199"/>
      <c r="P132" s="204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s="35" customFormat="1" ht="13.5" customHeight="1" thickBot="1" x14ac:dyDescent="0.3">
      <c r="A133" s="27"/>
      <c r="B133" s="220"/>
      <c r="C133" s="200"/>
      <c r="D133" s="200"/>
      <c r="E133" s="200"/>
      <c r="F133" s="46" t="s">
        <v>79</v>
      </c>
      <c r="G133" s="47">
        <f>+E129</f>
        <v>0.36299999999999999</v>
      </c>
      <c r="H133" s="48"/>
      <c r="I133" s="49"/>
      <c r="J133" s="50">
        <v>0.373</v>
      </c>
      <c r="K133" s="200"/>
      <c r="L133" s="200"/>
      <c r="M133" s="200"/>
      <c r="N133" s="200"/>
      <c r="O133" s="200"/>
      <c r="P133" s="205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s="35" customFormat="1" ht="13.5" customHeight="1" x14ac:dyDescent="0.25">
      <c r="A134" s="27"/>
      <c r="B134" s="218">
        <f>+B129+1</f>
        <v>24</v>
      </c>
      <c r="C134" s="221">
        <f>+C129+$N$12</f>
        <v>27</v>
      </c>
      <c r="D134" s="198">
        <v>0.51700000000000002</v>
      </c>
      <c r="E134" s="198">
        <v>0.42</v>
      </c>
      <c r="F134" s="36" t="s">
        <v>75</v>
      </c>
      <c r="G134" s="37">
        <v>0</v>
      </c>
      <c r="H134" s="38"/>
      <c r="I134" s="39"/>
      <c r="J134" s="40">
        <v>0.14099999999999999</v>
      </c>
      <c r="K134" s="198">
        <f>+IF(E134&lt;=0.12,(J136),(IF(E134&lt;0.16,((J135+2*J136+J137)/4),IF(E134&gt;=0.16,((J134+3*J135+2*J136+3*J137+J138)/10)))))</f>
        <v>0.43590000000000007</v>
      </c>
      <c r="L134" s="198">
        <f>ROUND(+(D129+D134)/2*(C134-C129),3)</f>
        <v>0.47</v>
      </c>
      <c r="M134" s="198">
        <f>ROUND(+K134*L134,4)</f>
        <v>0.2049</v>
      </c>
      <c r="N134" s="201">
        <f>ROUND(+M134/$M$188*100,2)</f>
        <v>6.87</v>
      </c>
      <c r="O134" s="202"/>
      <c r="P134" s="203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s="35" customFormat="1" ht="13.5" customHeight="1" x14ac:dyDescent="0.25">
      <c r="A135" s="27"/>
      <c r="B135" s="219"/>
      <c r="C135" s="199"/>
      <c r="D135" s="199"/>
      <c r="E135" s="199"/>
      <c r="F135" s="41" t="s">
        <v>76</v>
      </c>
      <c r="G135" s="42">
        <f>IF(E134&lt;0.125,"NA",IF(0.125&lt;=E134,(0.2*E134)))</f>
        <v>8.4000000000000005E-2</v>
      </c>
      <c r="H135" s="43"/>
      <c r="I135" s="44"/>
      <c r="J135" s="45">
        <v>0.372</v>
      </c>
      <c r="K135" s="199"/>
      <c r="L135" s="199"/>
      <c r="M135" s="199"/>
      <c r="N135" s="199"/>
      <c r="O135" s="199"/>
      <c r="P135" s="204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s="35" customFormat="1" ht="13.5" customHeight="1" x14ac:dyDescent="0.25">
      <c r="A136" s="27"/>
      <c r="B136" s="219"/>
      <c r="C136" s="199"/>
      <c r="D136" s="199"/>
      <c r="E136" s="199"/>
      <c r="F136" s="41" t="s">
        <v>77</v>
      </c>
      <c r="G136" s="42">
        <f>+E134*0.4</f>
        <v>0.16800000000000001</v>
      </c>
      <c r="H136" s="43"/>
      <c r="I136" s="44"/>
      <c r="J136" s="45">
        <v>0.45100000000000001</v>
      </c>
      <c r="K136" s="199"/>
      <c r="L136" s="199"/>
      <c r="M136" s="199"/>
      <c r="N136" s="199"/>
      <c r="O136" s="199"/>
      <c r="P136" s="204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s="35" customFormat="1" ht="13.5" customHeight="1" x14ac:dyDescent="0.25">
      <c r="A137" s="27"/>
      <c r="B137" s="219"/>
      <c r="C137" s="199"/>
      <c r="D137" s="199"/>
      <c r="E137" s="199"/>
      <c r="F137" s="41" t="s">
        <v>78</v>
      </c>
      <c r="G137" s="42">
        <f>IF(E134&lt;0.125,"NA",IF(0.125&lt;=E134,(0.8*E134)))</f>
        <v>0.33600000000000002</v>
      </c>
      <c r="H137" s="43"/>
      <c r="I137" s="44"/>
      <c r="J137" s="45">
        <v>0.55700000000000005</v>
      </c>
      <c r="K137" s="199"/>
      <c r="L137" s="199"/>
      <c r="M137" s="199"/>
      <c r="N137" s="199"/>
      <c r="O137" s="199"/>
      <c r="P137" s="204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s="35" customFormat="1" ht="13.5" customHeight="1" thickBot="1" x14ac:dyDescent="0.3">
      <c r="A138" s="27"/>
      <c r="B138" s="220"/>
      <c r="C138" s="200"/>
      <c r="D138" s="200"/>
      <c r="E138" s="200"/>
      <c r="F138" s="46" t="s">
        <v>79</v>
      </c>
      <c r="G138" s="47">
        <f>+E134</f>
        <v>0.42</v>
      </c>
      <c r="H138" s="48"/>
      <c r="I138" s="49"/>
      <c r="J138" s="50">
        <v>0.52900000000000003</v>
      </c>
      <c r="K138" s="200"/>
      <c r="L138" s="200"/>
      <c r="M138" s="200"/>
      <c r="N138" s="200"/>
      <c r="O138" s="200"/>
      <c r="P138" s="205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s="35" customFormat="1" ht="13.5" customHeight="1" x14ac:dyDescent="0.25">
      <c r="A139" s="27"/>
      <c r="B139" s="218">
        <f>+B134+1</f>
        <v>25</v>
      </c>
      <c r="C139" s="221">
        <f>+C134+$N$12</f>
        <v>28</v>
      </c>
      <c r="D139" s="198">
        <v>0.49</v>
      </c>
      <c r="E139" s="198">
        <v>0.505</v>
      </c>
      <c r="F139" s="36" t="s">
        <v>75</v>
      </c>
      <c r="G139" s="37">
        <v>0</v>
      </c>
      <c r="H139" s="38"/>
      <c r="I139" s="39"/>
      <c r="J139" s="40"/>
      <c r="K139" s="198"/>
      <c r="L139" s="198"/>
      <c r="M139" s="198"/>
      <c r="N139" s="201"/>
      <c r="O139" s="202"/>
      <c r="P139" s="203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s="35" customFormat="1" ht="13.5" customHeight="1" x14ac:dyDescent="0.25">
      <c r="A140" s="27"/>
      <c r="B140" s="219"/>
      <c r="C140" s="199"/>
      <c r="D140" s="199"/>
      <c r="E140" s="199"/>
      <c r="F140" s="41" t="s">
        <v>76</v>
      </c>
      <c r="G140" s="42">
        <f>IF(E139&lt;0.125,"NA",IF(0.125&lt;=E139,(0.2*E139)))</f>
        <v>0.10100000000000001</v>
      </c>
      <c r="H140" s="43"/>
      <c r="I140" s="44"/>
      <c r="J140" s="45"/>
      <c r="K140" s="199"/>
      <c r="L140" s="199"/>
      <c r="M140" s="199"/>
      <c r="N140" s="199"/>
      <c r="O140" s="199"/>
      <c r="P140" s="204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s="35" customFormat="1" ht="13.5" customHeight="1" x14ac:dyDescent="0.25">
      <c r="A141" s="27"/>
      <c r="B141" s="219"/>
      <c r="C141" s="199"/>
      <c r="D141" s="199"/>
      <c r="E141" s="199"/>
      <c r="F141" s="41" t="s">
        <v>77</v>
      </c>
      <c r="G141" s="42">
        <f>+E139*0.4</f>
        <v>0.20200000000000001</v>
      </c>
      <c r="H141" s="43"/>
      <c r="I141" s="44"/>
      <c r="J141" s="45"/>
      <c r="K141" s="199"/>
      <c r="L141" s="199"/>
      <c r="M141" s="199"/>
      <c r="N141" s="199"/>
      <c r="O141" s="199"/>
      <c r="P141" s="204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s="35" customFormat="1" ht="13.5" customHeight="1" x14ac:dyDescent="0.25">
      <c r="A142" s="27"/>
      <c r="B142" s="219"/>
      <c r="C142" s="199"/>
      <c r="D142" s="199"/>
      <c r="E142" s="199"/>
      <c r="F142" s="41" t="s">
        <v>78</v>
      </c>
      <c r="G142" s="42">
        <f>IF(E139&lt;0.125,"NA",IF(0.125&lt;=E139,(0.8*E139)))</f>
        <v>0.40400000000000003</v>
      </c>
      <c r="H142" s="43"/>
      <c r="I142" s="44"/>
      <c r="J142" s="45"/>
      <c r="K142" s="199"/>
      <c r="L142" s="199"/>
      <c r="M142" s="199"/>
      <c r="N142" s="199"/>
      <c r="O142" s="199"/>
      <c r="P142" s="204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s="35" customFormat="1" ht="13.5" customHeight="1" thickBot="1" x14ac:dyDescent="0.3">
      <c r="A143" s="27"/>
      <c r="B143" s="220"/>
      <c r="C143" s="200"/>
      <c r="D143" s="200"/>
      <c r="E143" s="200"/>
      <c r="F143" s="46" t="s">
        <v>79</v>
      </c>
      <c r="G143" s="47">
        <f>+E139</f>
        <v>0.505</v>
      </c>
      <c r="H143" s="48"/>
      <c r="I143" s="49"/>
      <c r="J143" s="50"/>
      <c r="K143" s="200"/>
      <c r="L143" s="200"/>
      <c r="M143" s="200"/>
      <c r="N143" s="200"/>
      <c r="O143" s="200"/>
      <c r="P143" s="205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s="35" customFormat="1" ht="13.5" customHeight="1" x14ac:dyDescent="0.25">
      <c r="A144" s="27" t="s">
        <v>105</v>
      </c>
      <c r="B144" s="218">
        <f>+B139+1</f>
        <v>26</v>
      </c>
      <c r="C144" s="221">
        <f>+C139+$N$12</f>
        <v>29</v>
      </c>
      <c r="D144" s="198">
        <v>0.52500000000000002</v>
      </c>
      <c r="E144" s="198">
        <v>0.49</v>
      </c>
      <c r="F144" s="36" t="s">
        <v>75</v>
      </c>
      <c r="G144" s="37">
        <v>0</v>
      </c>
      <c r="H144" s="38"/>
      <c r="I144" s="39"/>
      <c r="J144" s="40">
        <v>0.28499999999999998</v>
      </c>
      <c r="K144" s="198">
        <f>+IF(E144&lt;=0.12,(J146),(IF(E144&lt;0.16,((J145+2*J146+J147)/4),IF(E144&gt;=0.16,((J144+3*J145+2*J146+3*J147+J148)/10)))))</f>
        <v>0.42149999999999999</v>
      </c>
      <c r="L144" s="198">
        <f>ROUND(+(D139+D144)/2*(C144-C139),3)</f>
        <v>0.50800000000000001</v>
      </c>
      <c r="M144" s="198">
        <f>ROUND(+K144*L144,4)</f>
        <v>0.21410000000000001</v>
      </c>
      <c r="N144" s="201">
        <f>ROUND(+M144/$M$188*100,2)</f>
        <v>7.18</v>
      </c>
      <c r="O144" s="202"/>
      <c r="P144" s="203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s="35" customFormat="1" ht="13.5" customHeight="1" x14ac:dyDescent="0.25">
      <c r="A145" s="27"/>
      <c r="B145" s="219"/>
      <c r="C145" s="199"/>
      <c r="D145" s="199"/>
      <c r="E145" s="199"/>
      <c r="F145" s="41" t="s">
        <v>76</v>
      </c>
      <c r="G145" s="42">
        <f>IF(E144&lt;0.125,"NA",IF(0.125&lt;=E144,(0.2*E144)))</f>
        <v>9.8000000000000004E-2</v>
      </c>
      <c r="H145" s="43"/>
      <c r="I145" s="44"/>
      <c r="J145" s="45">
        <v>0.42199999999999999</v>
      </c>
      <c r="K145" s="199"/>
      <c r="L145" s="199"/>
      <c r="M145" s="199"/>
      <c r="N145" s="199"/>
      <c r="O145" s="199"/>
      <c r="P145" s="204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s="35" customFormat="1" ht="13.5" customHeight="1" x14ac:dyDescent="0.25">
      <c r="A146" s="27"/>
      <c r="B146" s="219"/>
      <c r="C146" s="199"/>
      <c r="D146" s="199"/>
      <c r="E146" s="199"/>
      <c r="F146" s="41" t="s">
        <v>77</v>
      </c>
      <c r="G146" s="42">
        <f>+E144*0.4</f>
        <v>0.19600000000000001</v>
      </c>
      <c r="H146" s="43"/>
      <c r="I146" s="44"/>
      <c r="J146" s="45">
        <v>0.45100000000000001</v>
      </c>
      <c r="K146" s="199"/>
      <c r="L146" s="199"/>
      <c r="M146" s="199"/>
      <c r="N146" s="199"/>
      <c r="O146" s="199"/>
      <c r="P146" s="204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s="35" customFormat="1" ht="13.5" customHeight="1" x14ac:dyDescent="0.25">
      <c r="A147" s="27"/>
      <c r="B147" s="219"/>
      <c r="C147" s="199"/>
      <c r="D147" s="199"/>
      <c r="E147" s="199"/>
      <c r="F147" s="41" t="s">
        <v>78</v>
      </c>
      <c r="G147" s="42">
        <f>IF(E144&lt;0.125,"NA",IF(0.125&lt;=E144,(0.8*E144)))</f>
        <v>0.39200000000000002</v>
      </c>
      <c r="H147" s="43"/>
      <c r="I147" s="44"/>
      <c r="J147" s="45">
        <v>0.44700000000000001</v>
      </c>
      <c r="K147" s="199"/>
      <c r="L147" s="199"/>
      <c r="M147" s="199"/>
      <c r="N147" s="199"/>
      <c r="O147" s="199"/>
      <c r="P147" s="204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s="35" customFormat="1" ht="13.5" customHeight="1" thickBot="1" x14ac:dyDescent="0.3">
      <c r="A148" s="27"/>
      <c r="B148" s="220"/>
      <c r="C148" s="200"/>
      <c r="D148" s="200"/>
      <c r="E148" s="200"/>
      <c r="F148" s="46" t="s">
        <v>79</v>
      </c>
      <c r="G148" s="47">
        <f>+E144</f>
        <v>0.49</v>
      </c>
      <c r="H148" s="48"/>
      <c r="I148" s="49"/>
      <c r="J148" s="50">
        <v>0.42099999999999999</v>
      </c>
      <c r="K148" s="200"/>
      <c r="L148" s="200"/>
      <c r="M148" s="200"/>
      <c r="N148" s="200"/>
      <c r="O148" s="200"/>
      <c r="P148" s="205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s="35" customFormat="1" ht="13.5" customHeight="1" x14ac:dyDescent="0.25">
      <c r="A149" s="27"/>
      <c r="B149" s="218">
        <f>+B144+1</f>
        <v>27</v>
      </c>
      <c r="C149" s="221">
        <f>+C144+$N$12</f>
        <v>30</v>
      </c>
      <c r="D149" s="198">
        <v>0.46</v>
      </c>
      <c r="E149" s="198">
        <v>0.48</v>
      </c>
      <c r="F149" s="36" t="s">
        <v>75</v>
      </c>
      <c r="G149" s="37">
        <v>0</v>
      </c>
      <c r="H149" s="38"/>
      <c r="I149" s="39"/>
      <c r="J149" s="40">
        <v>0.19</v>
      </c>
      <c r="K149" s="198">
        <f>+IF(E149&lt;=0.12,(J151),(IF(E149&lt;0.16,((J150+2*J151+J152)/4),IF(E149&gt;=0.16,((J149+3*J150+2*J151+3*J152+J153)/10)))))</f>
        <v>0.21210000000000001</v>
      </c>
      <c r="L149" s="198">
        <f>ROUND(+(D144+D149)/2*(C149-C144),3)</f>
        <v>0.49299999999999999</v>
      </c>
      <c r="M149" s="198">
        <f>ROUND(+K149*L149,4)</f>
        <v>0.1046</v>
      </c>
      <c r="N149" s="201">
        <f>ROUND(+M149/$M$188*100,2)</f>
        <v>3.51</v>
      </c>
      <c r="O149" s="202"/>
      <c r="P149" s="203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s="35" customFormat="1" ht="13.5" customHeight="1" x14ac:dyDescent="0.25">
      <c r="A150" s="27"/>
      <c r="B150" s="219"/>
      <c r="C150" s="199"/>
      <c r="D150" s="199"/>
      <c r="E150" s="199"/>
      <c r="F150" s="41" t="s">
        <v>76</v>
      </c>
      <c r="G150" s="42">
        <f>IF(E149&lt;0.125,"NA",IF(0.125&lt;=E149,(0.2*E149)))</f>
        <v>9.6000000000000002E-2</v>
      </c>
      <c r="H150" s="43"/>
      <c r="I150" s="44"/>
      <c r="J150" s="45">
        <v>0.19</v>
      </c>
      <c r="K150" s="199"/>
      <c r="L150" s="199"/>
      <c r="M150" s="199"/>
      <c r="N150" s="199"/>
      <c r="O150" s="199"/>
      <c r="P150" s="204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s="35" customFormat="1" ht="13.5" customHeight="1" x14ac:dyDescent="0.25">
      <c r="A151" s="27"/>
      <c r="B151" s="219"/>
      <c r="C151" s="199"/>
      <c r="D151" s="199"/>
      <c r="E151" s="199"/>
      <c r="F151" s="41" t="s">
        <v>77</v>
      </c>
      <c r="G151" s="42">
        <f>+E149*0.4</f>
        <v>0.192</v>
      </c>
      <c r="H151" s="43"/>
      <c r="I151" s="44"/>
      <c r="J151" s="45">
        <v>0.17899999999999999</v>
      </c>
      <c r="K151" s="199"/>
      <c r="L151" s="199"/>
      <c r="M151" s="199"/>
      <c r="N151" s="199"/>
      <c r="O151" s="199"/>
      <c r="P151" s="204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s="35" customFormat="1" ht="13.5" customHeight="1" x14ac:dyDescent="0.25">
      <c r="A152" s="27"/>
      <c r="B152" s="219"/>
      <c r="C152" s="199"/>
      <c r="D152" s="199"/>
      <c r="E152" s="199"/>
      <c r="F152" s="41" t="s">
        <v>78</v>
      </c>
      <c r="G152" s="42">
        <f>IF(E149&lt;0.125,"NA",IF(0.125&lt;=E149,(0.8*E149)))</f>
        <v>0.38400000000000001</v>
      </c>
      <c r="H152" s="43"/>
      <c r="I152" s="44"/>
      <c r="J152" s="45">
        <v>0.247</v>
      </c>
      <c r="K152" s="199"/>
      <c r="L152" s="199"/>
      <c r="M152" s="199"/>
      <c r="N152" s="199"/>
      <c r="O152" s="199"/>
      <c r="P152" s="204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s="35" customFormat="1" ht="13.5" customHeight="1" thickBot="1" x14ac:dyDescent="0.3">
      <c r="A153" s="27"/>
      <c r="B153" s="220"/>
      <c r="C153" s="200"/>
      <c r="D153" s="200"/>
      <c r="E153" s="200"/>
      <c r="F153" s="46" t="s">
        <v>79</v>
      </c>
      <c r="G153" s="47">
        <f>+E149</f>
        <v>0.48</v>
      </c>
      <c r="H153" s="48"/>
      <c r="I153" s="49"/>
      <c r="J153" s="50">
        <v>0.26200000000000001</v>
      </c>
      <c r="K153" s="200"/>
      <c r="L153" s="200"/>
      <c r="M153" s="200"/>
      <c r="N153" s="200"/>
      <c r="O153" s="200"/>
      <c r="P153" s="205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s="35" customFormat="1" ht="13.5" customHeight="1" x14ac:dyDescent="0.25">
      <c r="A154" s="27"/>
      <c r="B154" s="218">
        <f>+B149+1</f>
        <v>28</v>
      </c>
      <c r="C154" s="221">
        <f>+C149+$N$12</f>
        <v>31</v>
      </c>
      <c r="D154" s="198">
        <v>0.27500000000000002</v>
      </c>
      <c r="E154" s="198">
        <v>0.34499999999999997</v>
      </c>
      <c r="F154" s="36" t="s">
        <v>75</v>
      </c>
      <c r="G154" s="37">
        <v>0</v>
      </c>
      <c r="H154" s="38"/>
      <c r="I154" s="39"/>
      <c r="J154" s="40">
        <v>3.5000000000000003E-2</v>
      </c>
      <c r="K154" s="198">
        <f>+IF(E154&lt;=0.12,(J156),(IF(E154&lt;0.16,((J155+2*J156+J157)/4),IF(E154&gt;=0.16,((J154+3*J155+2*J156+3*J157+J158)/10)))))</f>
        <v>0.14199999999999999</v>
      </c>
      <c r="L154" s="198">
        <f>ROUND(+(D149+D154)/2*(C154-C149),3)</f>
        <v>0.36799999999999999</v>
      </c>
      <c r="M154" s="198">
        <f>ROUND(+K154*L154,4)</f>
        <v>5.2299999999999999E-2</v>
      </c>
      <c r="N154" s="201">
        <f>ROUND(+M154/$M$188*100,2)</f>
        <v>1.75</v>
      </c>
      <c r="O154" s="202"/>
      <c r="P154" s="203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s="35" customFormat="1" ht="13.5" customHeight="1" x14ac:dyDescent="0.25">
      <c r="A155" s="27"/>
      <c r="B155" s="219"/>
      <c r="C155" s="199"/>
      <c r="D155" s="199"/>
      <c r="E155" s="199"/>
      <c r="F155" s="41" t="s">
        <v>76</v>
      </c>
      <c r="G155" s="42">
        <f>IF(E154&lt;0.125,"NA",IF(0.125&lt;=E154,(0.2*E154)))</f>
        <v>6.8999999999999992E-2</v>
      </c>
      <c r="H155" s="43"/>
      <c r="I155" s="44"/>
      <c r="J155" s="45">
        <v>3.2000000000000001E-2</v>
      </c>
      <c r="K155" s="199"/>
      <c r="L155" s="199"/>
      <c r="M155" s="199"/>
      <c r="N155" s="199"/>
      <c r="O155" s="199"/>
      <c r="P155" s="204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s="35" customFormat="1" ht="13.5" customHeight="1" x14ac:dyDescent="0.25">
      <c r="A156" s="27"/>
      <c r="B156" s="219"/>
      <c r="C156" s="199"/>
      <c r="D156" s="199"/>
      <c r="E156" s="199"/>
      <c r="F156" s="41" t="s">
        <v>77</v>
      </c>
      <c r="G156" s="42">
        <f>+E154*0.4</f>
        <v>0.13799999999999998</v>
      </c>
      <c r="H156" s="43"/>
      <c r="I156" s="44"/>
      <c r="J156" s="45">
        <v>0.10199999999999999</v>
      </c>
      <c r="K156" s="199"/>
      <c r="L156" s="199"/>
      <c r="M156" s="199"/>
      <c r="N156" s="199"/>
      <c r="O156" s="199"/>
      <c r="P156" s="204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s="35" customFormat="1" ht="13.5" customHeight="1" x14ac:dyDescent="0.25">
      <c r="A157" s="27"/>
      <c r="B157" s="219"/>
      <c r="C157" s="199"/>
      <c r="D157" s="199"/>
      <c r="E157" s="199"/>
      <c r="F157" s="41" t="s">
        <v>78</v>
      </c>
      <c r="G157" s="42">
        <f>IF(E154&lt;0.125,"NA",IF(0.125&lt;=E154,(0.8*E154)))</f>
        <v>0.27599999999999997</v>
      </c>
      <c r="H157" s="43"/>
      <c r="I157" s="44"/>
      <c r="J157" s="45">
        <v>0.29599999999999999</v>
      </c>
      <c r="K157" s="199"/>
      <c r="L157" s="199"/>
      <c r="M157" s="199"/>
      <c r="N157" s="199"/>
      <c r="O157" s="199"/>
      <c r="P157" s="204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s="35" customFormat="1" ht="13.5" customHeight="1" thickBot="1" x14ac:dyDescent="0.3">
      <c r="A158" s="27"/>
      <c r="B158" s="220"/>
      <c r="C158" s="200"/>
      <c r="D158" s="200"/>
      <c r="E158" s="200"/>
      <c r="F158" s="46" t="s">
        <v>79</v>
      </c>
      <c r="G158" s="47">
        <f>+E154</f>
        <v>0.34499999999999997</v>
      </c>
      <c r="H158" s="48"/>
      <c r="I158" s="49"/>
      <c r="J158" s="50">
        <v>0.19700000000000001</v>
      </c>
      <c r="K158" s="200"/>
      <c r="L158" s="200"/>
      <c r="M158" s="200"/>
      <c r="N158" s="200"/>
      <c r="O158" s="200"/>
      <c r="P158" s="205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s="35" customFormat="1" ht="13.5" customHeight="1" x14ac:dyDescent="0.25">
      <c r="A159" s="27"/>
      <c r="B159" s="218">
        <f>+B154+1</f>
        <v>29</v>
      </c>
      <c r="C159" s="221">
        <f>+C154+1.1</f>
        <v>32.1</v>
      </c>
      <c r="D159" s="198">
        <v>0.2</v>
      </c>
      <c r="E159" s="198">
        <v>0.28000000000000003</v>
      </c>
      <c r="F159" s="36" t="s">
        <v>75</v>
      </c>
      <c r="G159" s="37">
        <v>0</v>
      </c>
      <c r="H159" s="38"/>
      <c r="I159" s="39"/>
      <c r="J159" s="40">
        <v>0.14499999999999999</v>
      </c>
      <c r="K159" s="198">
        <f>+IF(E159&lt;=0.12,(J161),(IF(E159&lt;0.16,((J160+2*J161+J162)/4),IF(E159&gt;=0.16,((J159+3*J160+2*J161+3*J162+J163)/10)))))</f>
        <v>0.13150000000000001</v>
      </c>
      <c r="L159" s="198">
        <f>ROUND(+(D154+D159)/2*(C159-C154),3)</f>
        <v>0.26100000000000001</v>
      </c>
      <c r="M159" s="198">
        <f>ROUND(+K159*L159,4)</f>
        <v>3.4299999999999997E-2</v>
      </c>
      <c r="N159" s="201">
        <f>ROUND(+M159/$M$188*100,2)</f>
        <v>1.1499999999999999</v>
      </c>
      <c r="O159" s="202"/>
      <c r="P159" s="203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s="35" customFormat="1" ht="13.5" customHeight="1" x14ac:dyDescent="0.25">
      <c r="A160" s="27"/>
      <c r="B160" s="219"/>
      <c r="C160" s="199"/>
      <c r="D160" s="199"/>
      <c r="E160" s="199"/>
      <c r="F160" s="41" t="s">
        <v>76</v>
      </c>
      <c r="G160" s="42">
        <f>IF(E159&lt;0.125,"NA",IF(0.125&lt;=E159,(0.2*E159)))</f>
        <v>5.6000000000000008E-2</v>
      </c>
      <c r="H160" s="43"/>
      <c r="I160" s="44"/>
      <c r="J160" s="45">
        <v>0.123</v>
      </c>
      <c r="K160" s="199"/>
      <c r="L160" s="199"/>
      <c r="M160" s="199"/>
      <c r="N160" s="199"/>
      <c r="O160" s="199"/>
      <c r="P160" s="204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s="35" customFormat="1" ht="13.5" customHeight="1" x14ac:dyDescent="0.25">
      <c r="A161" s="27"/>
      <c r="B161" s="219"/>
      <c r="C161" s="199"/>
      <c r="D161" s="199"/>
      <c r="E161" s="199"/>
      <c r="F161" s="41" t="s">
        <v>77</v>
      </c>
      <c r="G161" s="42">
        <f>+E159*0.4</f>
        <v>0.11200000000000002</v>
      </c>
      <c r="H161" s="43"/>
      <c r="I161" s="44"/>
      <c r="J161" s="45">
        <v>0.13700000000000001</v>
      </c>
      <c r="K161" s="199"/>
      <c r="L161" s="199"/>
      <c r="M161" s="199"/>
      <c r="N161" s="199"/>
      <c r="O161" s="199"/>
      <c r="P161" s="204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s="35" customFormat="1" ht="13.5" customHeight="1" x14ac:dyDescent="0.25">
      <c r="A162" s="27"/>
      <c r="B162" s="219"/>
      <c r="C162" s="199"/>
      <c r="D162" s="199"/>
      <c r="E162" s="199"/>
      <c r="F162" s="41" t="s">
        <v>78</v>
      </c>
      <c r="G162" s="42">
        <f>IF(E159&lt;0.125,"NA",IF(0.125&lt;=E159,(0.8*E159)))</f>
        <v>0.22400000000000003</v>
      </c>
      <c r="H162" s="43"/>
      <c r="I162" s="44"/>
      <c r="J162" s="45">
        <v>0.13200000000000001</v>
      </c>
      <c r="K162" s="199"/>
      <c r="L162" s="199"/>
      <c r="M162" s="199"/>
      <c r="N162" s="199"/>
      <c r="O162" s="199"/>
      <c r="P162" s="204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s="35" customFormat="1" ht="13.5" customHeight="1" thickBot="1" x14ac:dyDescent="0.3">
      <c r="A163" s="27"/>
      <c r="B163" s="220"/>
      <c r="C163" s="200"/>
      <c r="D163" s="200"/>
      <c r="E163" s="200"/>
      <c r="F163" s="46" t="s">
        <v>79</v>
      </c>
      <c r="G163" s="47">
        <f>+E159</f>
        <v>0.28000000000000003</v>
      </c>
      <c r="H163" s="48"/>
      <c r="I163" s="49"/>
      <c r="J163" s="50">
        <v>0.13100000000000001</v>
      </c>
      <c r="K163" s="200"/>
      <c r="L163" s="200"/>
      <c r="M163" s="200"/>
      <c r="N163" s="200"/>
      <c r="O163" s="200"/>
      <c r="P163" s="205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s="35" customFormat="1" ht="13.5" customHeight="1" x14ac:dyDescent="0.25">
      <c r="A164" s="27"/>
      <c r="B164" s="218">
        <f>+B159+1</f>
        <v>30</v>
      </c>
      <c r="C164" s="221">
        <f>+C159+1.1</f>
        <v>33.200000000000003</v>
      </c>
      <c r="D164" s="198">
        <v>0.183</v>
      </c>
      <c r="E164" s="198">
        <v>0.255</v>
      </c>
      <c r="F164" s="36" t="s">
        <v>75</v>
      </c>
      <c r="G164" s="37">
        <v>0</v>
      </c>
      <c r="H164" s="38"/>
      <c r="I164" s="39"/>
      <c r="J164" s="40">
        <v>1.4999999999999999E-2</v>
      </c>
      <c r="K164" s="198">
        <f>+IF(E164&lt;=0.12,(J166),(IF(E164&lt;0.16,((J165+2*J166+J167)/4),IF(E164&gt;=0.16,((J164+3*J165+2*J166+3*J167+J168)/10)))))</f>
        <v>2.1499999999999998E-2</v>
      </c>
      <c r="L164" s="198">
        <f>ROUND(+(D159+D164)/2*(C164-C159),3)</f>
        <v>0.21099999999999999</v>
      </c>
      <c r="M164" s="198">
        <f>ROUND(+K164*L164,4)</f>
        <v>4.4999999999999997E-3</v>
      </c>
      <c r="N164" s="201">
        <f>ROUND(+M164/$M$188*100,2)</f>
        <v>0.15</v>
      </c>
      <c r="O164" s="202"/>
      <c r="P164" s="203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s="35" customFormat="1" ht="13.5" customHeight="1" x14ac:dyDescent="0.25">
      <c r="A165" s="27"/>
      <c r="B165" s="219"/>
      <c r="C165" s="199"/>
      <c r="D165" s="199"/>
      <c r="E165" s="199"/>
      <c r="F165" s="41" t="s">
        <v>76</v>
      </c>
      <c r="G165" s="42">
        <f>IF(E164&lt;0.125,"NA",IF(0.125&lt;=E164,(0.2*E164)))</f>
        <v>5.1000000000000004E-2</v>
      </c>
      <c r="H165" s="43"/>
      <c r="I165" s="44"/>
      <c r="J165" s="45">
        <v>1.6E-2</v>
      </c>
      <c r="K165" s="199"/>
      <c r="L165" s="199"/>
      <c r="M165" s="199"/>
      <c r="N165" s="199"/>
      <c r="O165" s="199"/>
      <c r="P165" s="204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s="35" customFormat="1" ht="13.5" customHeight="1" x14ac:dyDescent="0.25">
      <c r="A166" s="27"/>
      <c r="B166" s="219"/>
      <c r="C166" s="199"/>
      <c r="D166" s="199"/>
      <c r="E166" s="199"/>
      <c r="F166" s="41" t="s">
        <v>77</v>
      </c>
      <c r="G166" s="42">
        <f>+E164*0.4</f>
        <v>0.10200000000000001</v>
      </c>
      <c r="H166" s="43"/>
      <c r="I166" s="44"/>
      <c r="J166" s="45">
        <v>1.0999999999999999E-2</v>
      </c>
      <c r="K166" s="199"/>
      <c r="L166" s="199"/>
      <c r="M166" s="199"/>
      <c r="N166" s="199"/>
      <c r="O166" s="199"/>
      <c r="P166" s="204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s="35" customFormat="1" ht="13.5" customHeight="1" x14ac:dyDescent="0.25">
      <c r="A167" s="27"/>
      <c r="B167" s="219"/>
      <c r="C167" s="199"/>
      <c r="D167" s="199"/>
      <c r="E167" s="199"/>
      <c r="F167" s="41" t="s">
        <v>78</v>
      </c>
      <c r="G167" s="42">
        <f>IF(E164&lt;0.125,"NA",IF(0.125&lt;=E164,(0.8*E164)))</f>
        <v>0.20400000000000001</v>
      </c>
      <c r="H167" s="43"/>
      <c r="I167" s="44"/>
      <c r="J167" s="45">
        <v>3.3000000000000002E-2</v>
      </c>
      <c r="K167" s="199"/>
      <c r="L167" s="199"/>
      <c r="M167" s="199"/>
      <c r="N167" s="199"/>
      <c r="O167" s="199"/>
      <c r="P167" s="204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s="35" customFormat="1" ht="13.5" customHeight="1" thickBot="1" x14ac:dyDescent="0.3">
      <c r="A168" s="27"/>
      <c r="B168" s="220"/>
      <c r="C168" s="200"/>
      <c r="D168" s="200"/>
      <c r="E168" s="200"/>
      <c r="F168" s="46" t="s">
        <v>79</v>
      </c>
      <c r="G168" s="47">
        <f>+E164</f>
        <v>0.255</v>
      </c>
      <c r="H168" s="48"/>
      <c r="I168" s="49"/>
      <c r="J168" s="50">
        <v>3.1E-2</v>
      </c>
      <c r="K168" s="200"/>
      <c r="L168" s="200"/>
      <c r="M168" s="200"/>
      <c r="N168" s="200"/>
      <c r="O168" s="200"/>
      <c r="P168" s="205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s="3" customFormat="1" ht="13.5" customHeight="1" x14ac:dyDescent="0.2">
      <c r="B169" s="206" t="s">
        <v>28</v>
      </c>
      <c r="C169" s="209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1"/>
    </row>
    <row r="170" spans="1:26" s="3" customFormat="1" ht="14.1" customHeight="1" x14ac:dyDescent="0.2">
      <c r="B170" s="207"/>
      <c r="C170" s="212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4"/>
    </row>
    <row r="171" spans="1:26" s="3" customFormat="1" ht="14.1" customHeight="1" x14ac:dyDescent="0.2">
      <c r="B171" s="207"/>
      <c r="C171" s="212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4"/>
    </row>
    <row r="172" spans="1:26" s="3" customFormat="1" ht="14.1" customHeight="1" x14ac:dyDescent="0.2">
      <c r="B172" s="207"/>
      <c r="C172" s="212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4"/>
    </row>
    <row r="173" spans="1:26" s="3" customFormat="1" ht="14.1" customHeight="1" x14ac:dyDescent="0.2">
      <c r="B173" s="207"/>
      <c r="C173" s="212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4"/>
    </row>
    <row r="174" spans="1:26" s="3" customFormat="1" ht="14.1" customHeight="1" thickBot="1" x14ac:dyDescent="0.25">
      <c r="B174" s="208"/>
      <c r="C174" s="215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7"/>
    </row>
    <row r="175" spans="1:26" s="3" customFormat="1" ht="28.5" customHeight="1" thickBot="1" x14ac:dyDescent="0.25">
      <c r="A175" s="51"/>
      <c r="B175" s="52" t="s">
        <v>80</v>
      </c>
      <c r="C175" s="185" t="s">
        <v>81</v>
      </c>
      <c r="D175" s="185"/>
      <c r="E175" s="185"/>
      <c r="F175" s="185"/>
      <c r="G175" s="185"/>
      <c r="H175" s="186"/>
      <c r="I175" s="187"/>
      <c r="J175" s="52" t="s">
        <v>82</v>
      </c>
      <c r="K175" s="185" t="s">
        <v>83</v>
      </c>
      <c r="L175" s="185"/>
      <c r="M175" s="185"/>
      <c r="N175" s="185"/>
      <c r="O175" s="185"/>
      <c r="P175" s="186"/>
    </row>
    <row r="176" spans="1:26" s="3" customFormat="1" ht="28.5" customHeight="1" thickBot="1" x14ac:dyDescent="0.25">
      <c r="B176" s="53" t="s">
        <v>84</v>
      </c>
      <c r="C176" s="189" t="s">
        <v>85</v>
      </c>
      <c r="D176" s="189"/>
      <c r="E176" s="189"/>
      <c r="F176" s="189"/>
      <c r="G176" s="189"/>
      <c r="H176" s="190"/>
      <c r="I176" s="188"/>
      <c r="J176" s="53" t="s">
        <v>86</v>
      </c>
      <c r="K176" s="189" t="s">
        <v>87</v>
      </c>
      <c r="L176" s="189"/>
      <c r="M176" s="189"/>
      <c r="N176" s="189"/>
      <c r="O176" s="189"/>
      <c r="P176" s="190"/>
    </row>
    <row r="177" spans="1:26" s="91" customFormat="1" ht="13.5" customHeight="1" x14ac:dyDescent="0.25">
      <c r="A177" s="54"/>
      <c r="B177" s="191">
        <f>B139</f>
        <v>25</v>
      </c>
      <c r="C177" s="194">
        <f>C134</f>
        <v>27</v>
      </c>
      <c r="D177" s="196">
        <f>D134</f>
        <v>0.51700000000000002</v>
      </c>
      <c r="E177" s="196">
        <f>E139</f>
        <v>0.505</v>
      </c>
      <c r="F177" s="55" t="s">
        <v>75</v>
      </c>
      <c r="G177" s="55">
        <v>0.01</v>
      </c>
      <c r="H177" s="56"/>
      <c r="I177" s="57"/>
      <c r="J177" s="58">
        <v>0.23799999999999999</v>
      </c>
      <c r="K177" s="197">
        <f>+AVERAGE(J177:J187)</f>
        <v>0.44972727272727275</v>
      </c>
      <c r="L177" s="176">
        <f>ROUND(+(D177+D182)/2*(C182-C177),3)</f>
        <v>0.504</v>
      </c>
      <c r="M177" s="179">
        <f>ROUND(+K177*L177,4)</f>
        <v>0.22670000000000001</v>
      </c>
      <c r="N177" s="176">
        <f>ROUND(+M177/$M$188*100,2)</f>
        <v>7.6</v>
      </c>
      <c r="O177" s="176"/>
      <c r="P177" s="180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s="91" customFormat="1" ht="13.5" customHeight="1" x14ac:dyDescent="0.25">
      <c r="A178" s="54"/>
      <c r="B178" s="192"/>
      <c r="C178" s="177"/>
      <c r="D178" s="177"/>
      <c r="E178" s="177"/>
      <c r="F178" s="60" t="s">
        <v>88</v>
      </c>
      <c r="G178" s="61">
        <f>+E177*0.1</f>
        <v>5.0500000000000003E-2</v>
      </c>
      <c r="H178" s="62"/>
      <c r="I178" s="63"/>
      <c r="J178" s="64">
        <v>0.222</v>
      </c>
      <c r="K178" s="177"/>
      <c r="L178" s="177"/>
      <c r="M178" s="177"/>
      <c r="N178" s="177"/>
      <c r="O178" s="177"/>
      <c r="P178" s="181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s="91" customFormat="1" ht="13.5" customHeight="1" x14ac:dyDescent="0.25">
      <c r="A179" s="54"/>
      <c r="B179" s="192"/>
      <c r="C179" s="177"/>
      <c r="D179" s="177"/>
      <c r="E179" s="177"/>
      <c r="F179" s="60" t="s">
        <v>89</v>
      </c>
      <c r="G179" s="61">
        <f>+E177*0.2</f>
        <v>0.10100000000000001</v>
      </c>
      <c r="H179" s="62"/>
      <c r="I179" s="63"/>
      <c r="J179" s="64">
        <v>0.32600000000000001</v>
      </c>
      <c r="K179" s="177"/>
      <c r="L179" s="177"/>
      <c r="M179" s="177"/>
      <c r="N179" s="177"/>
      <c r="O179" s="177"/>
      <c r="P179" s="181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s="91" customFormat="1" ht="13.5" customHeight="1" x14ac:dyDescent="0.25">
      <c r="A180" s="54"/>
      <c r="B180" s="192"/>
      <c r="C180" s="177"/>
      <c r="D180" s="177"/>
      <c r="E180" s="177"/>
      <c r="F180" s="60" t="s">
        <v>90</v>
      </c>
      <c r="G180" s="61">
        <f>+E177*0.3</f>
        <v>0.1515</v>
      </c>
      <c r="H180" s="62"/>
      <c r="I180" s="63"/>
      <c r="J180" s="64">
        <v>0.44900000000000001</v>
      </c>
      <c r="K180" s="177"/>
      <c r="L180" s="177"/>
      <c r="M180" s="177"/>
      <c r="N180" s="177"/>
      <c r="O180" s="177"/>
      <c r="P180" s="181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s="91" customFormat="1" ht="13.5" customHeight="1" x14ac:dyDescent="0.25">
      <c r="A181" s="54"/>
      <c r="B181" s="192"/>
      <c r="C181" s="195"/>
      <c r="D181" s="195"/>
      <c r="E181" s="177"/>
      <c r="F181" s="60" t="s">
        <v>91</v>
      </c>
      <c r="G181" s="61">
        <f>+E177*0.4</f>
        <v>0.20200000000000001</v>
      </c>
      <c r="H181" s="62"/>
      <c r="I181" s="63"/>
      <c r="J181" s="64">
        <v>0.51400000000000001</v>
      </c>
      <c r="K181" s="177"/>
      <c r="L181" s="177"/>
      <c r="M181" s="177"/>
      <c r="N181" s="177"/>
      <c r="O181" s="177"/>
      <c r="P181" s="181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s="91" customFormat="1" ht="13.5" customHeight="1" x14ac:dyDescent="0.25">
      <c r="A182" s="54"/>
      <c r="B182" s="192"/>
      <c r="C182" s="183">
        <f>C139</f>
        <v>28</v>
      </c>
      <c r="D182" s="184">
        <f>D139</f>
        <v>0.49</v>
      </c>
      <c r="E182" s="177"/>
      <c r="F182" s="60" t="s">
        <v>29</v>
      </c>
      <c r="G182" s="61">
        <f>+E177*0.5</f>
        <v>0.2525</v>
      </c>
      <c r="H182" s="62"/>
      <c r="I182" s="63"/>
      <c r="J182" s="64">
        <v>0.54</v>
      </c>
      <c r="K182" s="177"/>
      <c r="L182" s="177"/>
      <c r="M182" s="177"/>
      <c r="N182" s="177"/>
      <c r="O182" s="177"/>
      <c r="P182" s="181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s="91" customFormat="1" ht="13.5" customHeight="1" x14ac:dyDescent="0.25">
      <c r="A183" s="54"/>
      <c r="B183" s="192"/>
      <c r="C183" s="177"/>
      <c r="D183" s="177"/>
      <c r="E183" s="177"/>
      <c r="F183" s="60" t="s">
        <v>92</v>
      </c>
      <c r="G183" s="61">
        <f>+E177*0.6</f>
        <v>0.30299999999999999</v>
      </c>
      <c r="H183" s="62"/>
      <c r="I183" s="63"/>
      <c r="J183" s="64">
        <v>0.57199999999999995</v>
      </c>
      <c r="K183" s="177"/>
      <c r="L183" s="177"/>
      <c r="M183" s="177"/>
      <c r="N183" s="177"/>
      <c r="O183" s="177"/>
      <c r="P183" s="181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s="91" customFormat="1" ht="13.5" customHeight="1" x14ac:dyDescent="0.25">
      <c r="A184" s="54"/>
      <c r="B184" s="192"/>
      <c r="C184" s="177"/>
      <c r="D184" s="177"/>
      <c r="E184" s="177"/>
      <c r="F184" s="60" t="s">
        <v>93</v>
      </c>
      <c r="G184" s="61">
        <f>+E177*0.7</f>
        <v>0.35349999999999998</v>
      </c>
      <c r="H184" s="62"/>
      <c r="I184" s="63"/>
      <c r="J184" s="64">
        <v>0.55100000000000005</v>
      </c>
      <c r="K184" s="177"/>
      <c r="L184" s="177"/>
      <c r="M184" s="177"/>
      <c r="N184" s="177"/>
      <c r="O184" s="177"/>
      <c r="P184" s="181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s="91" customFormat="1" ht="13.5" customHeight="1" x14ac:dyDescent="0.25">
      <c r="A185" s="54"/>
      <c r="B185" s="192"/>
      <c r="C185" s="177"/>
      <c r="D185" s="177"/>
      <c r="E185" s="177"/>
      <c r="F185" s="60" t="s">
        <v>94</v>
      </c>
      <c r="G185" s="61">
        <f>+E177*0.8</f>
        <v>0.40400000000000003</v>
      </c>
      <c r="H185" s="62"/>
      <c r="I185" s="63"/>
      <c r="J185" s="64">
        <v>0.54100000000000004</v>
      </c>
      <c r="K185" s="177"/>
      <c r="L185" s="177"/>
      <c r="M185" s="177"/>
      <c r="N185" s="177"/>
      <c r="O185" s="177"/>
      <c r="P185" s="181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s="91" customFormat="1" ht="13.5" customHeight="1" x14ac:dyDescent="0.25">
      <c r="A186" s="54"/>
      <c r="B186" s="192"/>
      <c r="C186" s="177"/>
      <c r="D186" s="177"/>
      <c r="E186" s="177"/>
      <c r="F186" s="60" t="s">
        <v>95</v>
      </c>
      <c r="G186" s="61">
        <f>+E177*0.9</f>
        <v>0.45450000000000002</v>
      </c>
      <c r="H186" s="62"/>
      <c r="I186" s="63"/>
      <c r="J186" s="64">
        <v>0.53500000000000003</v>
      </c>
      <c r="K186" s="177"/>
      <c r="L186" s="177"/>
      <c r="M186" s="177"/>
      <c r="N186" s="177"/>
      <c r="O186" s="177"/>
      <c r="P186" s="181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s="91" customFormat="1" ht="15.75" thickBot="1" x14ac:dyDescent="0.3">
      <c r="A187" s="54"/>
      <c r="B187" s="193"/>
      <c r="C187" s="178"/>
      <c r="D187" s="178"/>
      <c r="E187" s="178"/>
      <c r="F187" s="65" t="s">
        <v>30</v>
      </c>
      <c r="G187" s="65">
        <f>+E177</f>
        <v>0.505</v>
      </c>
      <c r="H187" s="66"/>
      <c r="I187" s="67"/>
      <c r="J187" s="68">
        <v>0.45900000000000002</v>
      </c>
      <c r="K187" s="178"/>
      <c r="L187" s="178"/>
      <c r="M187" s="178"/>
      <c r="N187" s="178"/>
      <c r="O187" s="178"/>
      <c r="P187" s="182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s="3" customFormat="1" ht="12.75" x14ac:dyDescent="0.2">
      <c r="A188" s="8"/>
      <c r="B188" s="164" t="s">
        <v>103</v>
      </c>
      <c r="C188" s="164"/>
      <c r="D188" s="164"/>
      <c r="E188" s="164"/>
      <c r="F188" s="164"/>
      <c r="G188" s="164"/>
      <c r="H188" s="164"/>
      <c r="I188" s="164"/>
      <c r="J188" s="164"/>
      <c r="K188" s="13">
        <f>ROUND(+M188/L188,3)</f>
        <v>0.34899999999999998</v>
      </c>
      <c r="L188" s="12">
        <f>SUM(L19:L187)</f>
        <v>8.5449999999999999</v>
      </c>
      <c r="M188" s="11">
        <f>SUM(M19:M187)</f>
        <v>2.9836999999999998</v>
      </c>
      <c r="N188" s="9">
        <f>ROUND(SUM(N19:N187),0)</f>
        <v>100</v>
      </c>
      <c r="O188" s="166" t="s">
        <v>31</v>
      </c>
      <c r="P188" s="168"/>
    </row>
    <row r="189" spans="1:26" s="3" customFormat="1" ht="15" customHeight="1" thickBot="1" x14ac:dyDescent="0.25">
      <c r="A189" s="8"/>
      <c r="B189" s="165"/>
      <c r="C189" s="165"/>
      <c r="D189" s="165"/>
      <c r="E189" s="165"/>
      <c r="F189" s="165"/>
      <c r="G189" s="165"/>
      <c r="H189" s="165"/>
      <c r="I189" s="165"/>
      <c r="J189" s="165"/>
      <c r="K189" s="10" t="s">
        <v>32</v>
      </c>
      <c r="L189" s="10" t="s">
        <v>48</v>
      </c>
      <c r="M189" s="10" t="s">
        <v>100</v>
      </c>
      <c r="N189" s="10" t="s">
        <v>33</v>
      </c>
      <c r="O189" s="167"/>
      <c r="P189" s="169"/>
    </row>
    <row r="190" spans="1:26" ht="15" customHeight="1" thickBot="1" x14ac:dyDescent="0.3">
      <c r="A190" s="93"/>
      <c r="B190" s="170" t="s">
        <v>96</v>
      </c>
      <c r="C190" s="171"/>
      <c r="D190" s="171"/>
      <c r="E190" s="171"/>
      <c r="F190" s="172"/>
      <c r="G190" s="170" t="s">
        <v>97</v>
      </c>
      <c r="H190" s="171"/>
      <c r="I190" s="171"/>
      <c r="J190" s="171"/>
      <c r="K190" s="172"/>
      <c r="L190" s="173" t="s">
        <v>49</v>
      </c>
      <c r="M190" s="174"/>
      <c r="N190" s="174"/>
      <c r="O190" s="174"/>
      <c r="P190" s="175"/>
    </row>
    <row r="191" spans="1:26" ht="15" customHeight="1" x14ac:dyDescent="0.25">
      <c r="A191" s="93"/>
      <c r="B191" s="134"/>
      <c r="C191" s="135"/>
      <c r="D191" s="135"/>
      <c r="E191" s="135"/>
      <c r="F191" s="136"/>
      <c r="G191" s="134"/>
      <c r="H191" s="135"/>
      <c r="I191" s="135"/>
      <c r="J191" s="135"/>
      <c r="K191" s="136"/>
      <c r="L191" s="143" t="s">
        <v>98</v>
      </c>
      <c r="M191" s="144"/>
      <c r="N191" s="144"/>
      <c r="O191" s="145">
        <f>+AVERAGE(E113:E168)</f>
        <v>0.34772727272727272</v>
      </c>
      <c r="P191" s="146"/>
    </row>
    <row r="192" spans="1:26" ht="15" customHeight="1" thickBot="1" x14ac:dyDescent="0.3">
      <c r="A192" s="93"/>
      <c r="B192" s="137"/>
      <c r="C192" s="138"/>
      <c r="D192" s="138"/>
      <c r="E192" s="138"/>
      <c r="F192" s="139"/>
      <c r="G192" s="137"/>
      <c r="H192" s="138"/>
      <c r="I192" s="138"/>
      <c r="J192" s="138"/>
      <c r="K192" s="139"/>
      <c r="L192" s="147" t="s">
        <v>99</v>
      </c>
      <c r="M192" s="148"/>
      <c r="N192" s="148"/>
      <c r="O192" s="149">
        <f>MAX(E113:E168)</f>
        <v>0.505</v>
      </c>
      <c r="P192" s="150"/>
    </row>
    <row r="193" spans="1:16" ht="18.600000000000001" customHeight="1" x14ac:dyDescent="0.25">
      <c r="A193" s="94"/>
      <c r="B193" s="137"/>
      <c r="C193" s="138"/>
      <c r="D193" s="138"/>
      <c r="E193" s="138"/>
      <c r="F193" s="139"/>
      <c r="G193" s="137"/>
      <c r="H193" s="138"/>
      <c r="I193" s="138"/>
      <c r="J193" s="138"/>
      <c r="K193" s="139"/>
      <c r="L193" s="151"/>
      <c r="M193" s="152"/>
      <c r="N193" s="152"/>
      <c r="O193" s="152"/>
      <c r="P193" s="153"/>
    </row>
    <row r="194" spans="1:16" ht="42" customHeight="1" x14ac:dyDescent="0.25">
      <c r="A194" s="95"/>
      <c r="B194" s="137"/>
      <c r="C194" s="138"/>
      <c r="D194" s="138"/>
      <c r="E194" s="138"/>
      <c r="F194" s="139"/>
      <c r="G194" s="137"/>
      <c r="H194" s="138"/>
      <c r="I194" s="138"/>
      <c r="J194" s="138"/>
      <c r="K194" s="139"/>
      <c r="L194" s="154"/>
      <c r="M194" s="155"/>
      <c r="N194" s="155"/>
      <c r="O194" s="155"/>
      <c r="P194" s="156"/>
    </row>
    <row r="195" spans="1:16" ht="15" customHeight="1" thickBot="1" x14ac:dyDescent="0.3">
      <c r="A195" s="93"/>
      <c r="B195" s="137"/>
      <c r="C195" s="138"/>
      <c r="D195" s="138"/>
      <c r="E195" s="138"/>
      <c r="F195" s="139"/>
      <c r="G195" s="137"/>
      <c r="H195" s="138"/>
      <c r="I195" s="138"/>
      <c r="J195" s="138"/>
      <c r="K195" s="139"/>
      <c r="L195" s="157"/>
      <c r="M195" s="158"/>
      <c r="N195" s="158"/>
      <c r="O195" s="158"/>
      <c r="P195" s="159"/>
    </row>
    <row r="196" spans="1:16" ht="22.5" customHeight="1" thickBot="1" x14ac:dyDescent="0.3">
      <c r="A196" s="93"/>
      <c r="B196" s="137"/>
      <c r="C196" s="138"/>
      <c r="D196" s="138"/>
      <c r="E196" s="138"/>
      <c r="F196" s="139"/>
      <c r="G196" s="137"/>
      <c r="H196" s="138"/>
      <c r="I196" s="138"/>
      <c r="J196" s="138"/>
      <c r="K196" s="139"/>
      <c r="L196" s="160" t="s">
        <v>34</v>
      </c>
      <c r="M196" s="161"/>
      <c r="N196" s="161"/>
      <c r="O196" s="161"/>
      <c r="P196" s="90">
        <v>7.91</v>
      </c>
    </row>
    <row r="197" spans="1:16" ht="39" customHeight="1" thickBot="1" x14ac:dyDescent="0.3">
      <c r="A197" s="93"/>
      <c r="B197" s="140"/>
      <c r="C197" s="141"/>
      <c r="D197" s="141"/>
      <c r="E197" s="141"/>
      <c r="F197" s="142"/>
      <c r="G197" s="140"/>
      <c r="H197" s="141"/>
      <c r="I197" s="141"/>
      <c r="J197" s="141"/>
      <c r="K197" s="142"/>
      <c r="L197" s="162" t="s">
        <v>102</v>
      </c>
      <c r="M197" s="163"/>
      <c r="N197" s="163"/>
      <c r="O197" s="163"/>
      <c r="P197" s="98" t="s">
        <v>104</v>
      </c>
    </row>
    <row r="198" spans="1:16" ht="23.45" customHeight="1" thickBot="1" x14ac:dyDescent="0.3">
      <c r="A198" s="5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</row>
    <row r="199" spans="1:16" ht="15.75" thickBot="1" x14ac:dyDescent="0.3">
      <c r="A199" s="117" t="s">
        <v>35</v>
      </c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9"/>
    </row>
    <row r="200" spans="1:16" ht="159" customHeight="1" thickBot="1" x14ac:dyDescent="0.3">
      <c r="A200" s="4"/>
      <c r="B200" s="120"/>
      <c r="C200" s="121"/>
      <c r="D200" s="121"/>
      <c r="E200" s="121"/>
      <c r="F200" s="122"/>
      <c r="G200" s="120"/>
      <c r="H200" s="121"/>
      <c r="I200" s="121"/>
      <c r="J200" s="121"/>
      <c r="K200" s="122"/>
      <c r="L200" s="120"/>
      <c r="M200" s="121"/>
      <c r="N200" s="121"/>
      <c r="O200" s="121"/>
      <c r="P200" s="122"/>
    </row>
    <row r="201" spans="1:16" ht="21.75" customHeight="1" thickBot="1" x14ac:dyDescent="0.3">
      <c r="A201" s="4"/>
      <c r="B201" s="127" t="s">
        <v>114</v>
      </c>
      <c r="C201" s="128"/>
      <c r="D201" s="128"/>
      <c r="E201" s="128"/>
      <c r="F201" s="129"/>
      <c r="G201" s="127" t="s">
        <v>115</v>
      </c>
      <c r="H201" s="128"/>
      <c r="I201" s="128"/>
      <c r="J201" s="128"/>
      <c r="K201" s="129"/>
      <c r="L201" s="127" t="s">
        <v>115</v>
      </c>
      <c r="M201" s="128"/>
      <c r="N201" s="128"/>
      <c r="O201" s="128"/>
      <c r="P201" s="129"/>
    </row>
    <row r="202" spans="1:16" s="7" customFormat="1" ht="16.899999999999999" customHeight="1" thickBot="1" x14ac:dyDescent="0.3">
      <c r="A202" s="6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10"/>
    </row>
    <row r="203" spans="1:16" s="3" customFormat="1" ht="15.75" customHeight="1" thickBot="1" x14ac:dyDescent="0.25">
      <c r="A203" s="111" t="s">
        <v>36</v>
      </c>
      <c r="B203" s="112"/>
      <c r="C203" s="113"/>
      <c r="D203" s="312"/>
      <c r="E203" s="112"/>
      <c r="F203" s="112"/>
      <c r="G203" s="112"/>
      <c r="H203" s="112"/>
      <c r="I203" s="113"/>
      <c r="J203" s="312" t="s">
        <v>37</v>
      </c>
      <c r="K203" s="113"/>
      <c r="L203" s="312"/>
      <c r="M203" s="112"/>
      <c r="N203" s="112"/>
      <c r="O203" s="112"/>
      <c r="P203" s="313"/>
    </row>
  </sheetData>
  <mergeCells count="4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M114:M118"/>
    <mergeCell ref="N114:N118"/>
    <mergeCell ref="O114:O118"/>
    <mergeCell ref="P114:P118"/>
    <mergeCell ref="B119:B123"/>
    <mergeCell ref="C119:C123"/>
    <mergeCell ref="D119:D123"/>
    <mergeCell ref="E119:E123"/>
    <mergeCell ref="K119:K123"/>
    <mergeCell ref="L119:L123"/>
    <mergeCell ref="M119:M123"/>
    <mergeCell ref="N119:N123"/>
    <mergeCell ref="O119:O123"/>
    <mergeCell ref="P119:P123"/>
    <mergeCell ref="B124:B128"/>
    <mergeCell ref="C124:C128"/>
    <mergeCell ref="D124:D128"/>
    <mergeCell ref="E124:E128"/>
    <mergeCell ref="K124:K128"/>
    <mergeCell ref="L124:L128"/>
    <mergeCell ref="M124:M128"/>
    <mergeCell ref="N124:N128"/>
    <mergeCell ref="O124:O128"/>
    <mergeCell ref="P124:P128"/>
    <mergeCell ref="B129:B133"/>
    <mergeCell ref="C129:C133"/>
    <mergeCell ref="D129:D133"/>
    <mergeCell ref="E129:E133"/>
    <mergeCell ref="K129:K133"/>
    <mergeCell ref="L129:L133"/>
    <mergeCell ref="M129:M133"/>
    <mergeCell ref="N129:N133"/>
    <mergeCell ref="O129:O133"/>
    <mergeCell ref="P129:P133"/>
    <mergeCell ref="B134:B138"/>
    <mergeCell ref="C134:C138"/>
    <mergeCell ref="D134:D138"/>
    <mergeCell ref="E134:E138"/>
    <mergeCell ref="K134:K138"/>
    <mergeCell ref="L134:L138"/>
    <mergeCell ref="M134:M138"/>
    <mergeCell ref="N134:N138"/>
    <mergeCell ref="O134:O138"/>
    <mergeCell ref="P134:P138"/>
    <mergeCell ref="B139:B143"/>
    <mergeCell ref="C139:C143"/>
    <mergeCell ref="D139:D143"/>
    <mergeCell ref="E139:E143"/>
    <mergeCell ref="K139:K143"/>
    <mergeCell ref="L139:L143"/>
    <mergeCell ref="M139:M143"/>
    <mergeCell ref="N139:N143"/>
    <mergeCell ref="O139:O143"/>
    <mergeCell ref="P139:P143"/>
    <mergeCell ref="B144:B148"/>
    <mergeCell ref="C144:C148"/>
    <mergeCell ref="D144:D148"/>
    <mergeCell ref="E144:E148"/>
    <mergeCell ref="K144:K148"/>
    <mergeCell ref="L144:L148"/>
    <mergeCell ref="M144:M148"/>
    <mergeCell ref="N144:N148"/>
    <mergeCell ref="O144:O148"/>
    <mergeCell ref="P144:P148"/>
    <mergeCell ref="B149:B153"/>
    <mergeCell ref="C149:C153"/>
    <mergeCell ref="D149:D153"/>
    <mergeCell ref="E149:E153"/>
    <mergeCell ref="K149:K153"/>
    <mergeCell ref="L149:L153"/>
    <mergeCell ref="M149:M153"/>
    <mergeCell ref="N149:N153"/>
    <mergeCell ref="O149:O153"/>
    <mergeCell ref="P149:P153"/>
    <mergeCell ref="B154:B158"/>
    <mergeCell ref="C154:C158"/>
    <mergeCell ref="D154:D158"/>
    <mergeCell ref="E154:E158"/>
    <mergeCell ref="K154:K158"/>
    <mergeCell ref="L154:L158"/>
    <mergeCell ref="M154:M158"/>
    <mergeCell ref="N154:N158"/>
    <mergeCell ref="O154:O158"/>
    <mergeCell ref="P154:P158"/>
    <mergeCell ref="B159:B163"/>
    <mergeCell ref="C159:C163"/>
    <mergeCell ref="D159:D163"/>
    <mergeCell ref="E159:E163"/>
    <mergeCell ref="K159:K163"/>
    <mergeCell ref="L159:L163"/>
    <mergeCell ref="M164:M168"/>
    <mergeCell ref="N164:N168"/>
    <mergeCell ref="O164:O168"/>
    <mergeCell ref="P164:P168"/>
    <mergeCell ref="B169:B174"/>
    <mergeCell ref="C169:P174"/>
    <mergeCell ref="M159:M163"/>
    <mergeCell ref="N159:N163"/>
    <mergeCell ref="O159:O163"/>
    <mergeCell ref="P159:P163"/>
    <mergeCell ref="B164:B168"/>
    <mergeCell ref="C164:C168"/>
    <mergeCell ref="D164:D168"/>
    <mergeCell ref="E164:E168"/>
    <mergeCell ref="K164:K168"/>
    <mergeCell ref="L164:L168"/>
    <mergeCell ref="C175:H175"/>
    <mergeCell ref="I175:I176"/>
    <mergeCell ref="K175:P175"/>
    <mergeCell ref="C176:H176"/>
    <mergeCell ref="K176:P176"/>
    <mergeCell ref="B177:B187"/>
    <mergeCell ref="C177:C181"/>
    <mergeCell ref="D177:D181"/>
    <mergeCell ref="E177:E187"/>
    <mergeCell ref="K177:K187"/>
    <mergeCell ref="B188:J189"/>
    <mergeCell ref="O188:O189"/>
    <mergeCell ref="P188:P189"/>
    <mergeCell ref="B190:F190"/>
    <mergeCell ref="G190:K190"/>
    <mergeCell ref="L190:P190"/>
    <mergeCell ref="L177:L187"/>
    <mergeCell ref="M177:M187"/>
    <mergeCell ref="N177:N187"/>
    <mergeCell ref="O177:O187"/>
    <mergeCell ref="P177:P187"/>
    <mergeCell ref="C182:C187"/>
    <mergeCell ref="D182:D187"/>
    <mergeCell ref="B191:F197"/>
    <mergeCell ref="G191:K197"/>
    <mergeCell ref="L191:N191"/>
    <mergeCell ref="O191:P191"/>
    <mergeCell ref="L192:N192"/>
    <mergeCell ref="O192:P192"/>
    <mergeCell ref="L193:P195"/>
    <mergeCell ref="L196:O196"/>
    <mergeCell ref="L197:O197"/>
    <mergeCell ref="B202:P202"/>
    <mergeCell ref="A203:C203"/>
    <mergeCell ref="D203:I203"/>
    <mergeCell ref="J203:K203"/>
    <mergeCell ref="L203:P203"/>
    <mergeCell ref="B198:P198"/>
    <mergeCell ref="A199:P199"/>
    <mergeCell ref="B200:F200"/>
    <mergeCell ref="G200:K200"/>
    <mergeCell ref="L200:P200"/>
    <mergeCell ref="B201:F201"/>
    <mergeCell ref="G201:K201"/>
    <mergeCell ref="L201:P201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3"/>
  <sheetViews>
    <sheetView view="pageBreakPreview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14"/>
      <c r="B2" s="315"/>
      <c r="C2" s="316"/>
      <c r="D2" s="317"/>
      <c r="E2" s="318" t="s">
        <v>118</v>
      </c>
      <c r="F2" s="319"/>
      <c r="G2" s="319"/>
      <c r="H2" s="319"/>
      <c r="I2" s="319"/>
      <c r="J2" s="319"/>
      <c r="K2" s="319"/>
      <c r="L2" s="319"/>
      <c r="M2" s="319"/>
      <c r="N2" s="319"/>
      <c r="O2" s="320"/>
      <c r="P2" s="321"/>
    </row>
    <row r="3" spans="1:26" s="2" customFormat="1" ht="25.5" customHeight="1" thickBot="1" x14ac:dyDescent="0.3">
      <c r="A3" s="314"/>
      <c r="B3" s="322"/>
      <c r="C3" s="323"/>
      <c r="D3" s="324"/>
      <c r="E3" s="325"/>
      <c r="F3" s="326"/>
      <c r="G3" s="326"/>
      <c r="H3" s="326"/>
      <c r="I3" s="326"/>
      <c r="J3" s="326"/>
      <c r="K3" s="326"/>
      <c r="L3" s="326"/>
      <c r="M3" s="326"/>
      <c r="N3" s="326"/>
      <c r="O3" s="327"/>
      <c r="P3" s="328"/>
    </row>
    <row r="4" spans="1:26" s="91" customFormat="1" ht="11.25" customHeight="1" thickBot="1" x14ac:dyDescent="0.3">
      <c r="A4" s="15"/>
      <c r="B4" s="304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05">
        <v>43173</v>
      </c>
      <c r="D5" s="306"/>
      <c r="E5" s="70" t="s">
        <v>50</v>
      </c>
      <c r="F5" s="71">
        <v>4</v>
      </c>
      <c r="G5" s="72" t="s">
        <v>1</v>
      </c>
      <c r="H5" s="307" t="s">
        <v>119</v>
      </c>
      <c r="I5" s="308"/>
      <c r="J5" s="308"/>
      <c r="K5" s="308"/>
      <c r="L5" s="308"/>
      <c r="M5" s="308"/>
      <c r="N5" s="308"/>
      <c r="O5" s="308"/>
      <c r="P5" s="309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88" t="s">
        <v>2</v>
      </c>
      <c r="C6" s="289"/>
      <c r="D6" s="290" t="s">
        <v>116</v>
      </c>
      <c r="E6" s="291"/>
      <c r="F6" s="291"/>
      <c r="G6" s="291"/>
      <c r="H6" s="291"/>
      <c r="I6" s="292"/>
      <c r="J6" s="74" t="s">
        <v>3</v>
      </c>
      <c r="K6" s="293" t="s">
        <v>107</v>
      </c>
      <c r="L6" s="292"/>
      <c r="M6" s="293" t="s">
        <v>108</v>
      </c>
      <c r="N6" s="294"/>
      <c r="O6" s="75" t="s">
        <v>51</v>
      </c>
      <c r="P6" s="76">
        <v>731</v>
      </c>
    </row>
    <row r="7" spans="1:26" s="18" customFormat="1" ht="21.75" customHeight="1" x14ac:dyDescent="0.25">
      <c r="B7" s="295" t="s">
        <v>52</v>
      </c>
      <c r="C7" s="296" t="s">
        <v>53</v>
      </c>
      <c r="D7" s="266"/>
      <c r="E7" s="78"/>
      <c r="F7" s="297" t="s">
        <v>54</v>
      </c>
      <c r="G7" s="298"/>
      <c r="H7" s="298"/>
      <c r="I7" s="298"/>
      <c r="J7" s="299" t="s">
        <v>55</v>
      </c>
      <c r="K7" s="300"/>
      <c r="L7" s="300"/>
      <c r="M7" s="301"/>
      <c r="N7" s="302" t="s">
        <v>101</v>
      </c>
      <c r="O7" s="303"/>
      <c r="P7" s="79" t="s">
        <v>56</v>
      </c>
    </row>
    <row r="8" spans="1:26" s="18" customFormat="1" ht="21.75" customHeight="1" thickBot="1" x14ac:dyDescent="0.3">
      <c r="B8" s="240"/>
      <c r="C8" s="257" t="s">
        <v>57</v>
      </c>
      <c r="D8" s="256"/>
      <c r="E8" s="80" t="s">
        <v>4</v>
      </c>
      <c r="F8" s="267" t="s">
        <v>5</v>
      </c>
      <c r="G8" s="268"/>
      <c r="H8" s="268"/>
      <c r="I8" s="268"/>
      <c r="J8" s="269"/>
      <c r="K8" s="270"/>
      <c r="L8" s="270"/>
      <c r="M8" s="271"/>
      <c r="N8" s="272"/>
      <c r="O8" s="273"/>
      <c r="P8" s="81"/>
    </row>
    <row r="9" spans="1:26" s="18" customFormat="1" ht="21.75" customHeight="1" x14ac:dyDescent="0.25">
      <c r="B9" s="274" t="s">
        <v>6</v>
      </c>
      <c r="C9" s="277" t="s">
        <v>58</v>
      </c>
      <c r="D9" s="278" t="s">
        <v>59</v>
      </c>
      <c r="E9" s="263"/>
      <c r="F9" s="82"/>
      <c r="G9" s="279" t="s">
        <v>7</v>
      </c>
      <c r="H9" s="280" t="s">
        <v>8</v>
      </c>
      <c r="I9" s="266"/>
      <c r="J9" s="83"/>
      <c r="K9" s="277" t="s">
        <v>60</v>
      </c>
      <c r="L9" s="281" t="s">
        <v>113</v>
      </c>
      <c r="M9" s="282"/>
      <c r="N9" s="283"/>
      <c r="O9" s="283"/>
      <c r="P9" s="284"/>
    </row>
    <row r="10" spans="1:26" s="18" customFormat="1" ht="21.75" customHeight="1" thickBot="1" x14ac:dyDescent="0.3">
      <c r="B10" s="275"/>
      <c r="C10" s="220"/>
      <c r="D10" s="261" t="s">
        <v>61</v>
      </c>
      <c r="E10" s="256"/>
      <c r="F10" s="84" t="s">
        <v>4</v>
      </c>
      <c r="G10" s="220"/>
      <c r="H10" s="261" t="s">
        <v>9</v>
      </c>
      <c r="I10" s="256"/>
      <c r="J10" s="85" t="s">
        <v>4</v>
      </c>
      <c r="K10" s="220"/>
      <c r="L10" s="285"/>
      <c r="M10" s="286"/>
      <c r="N10" s="286"/>
      <c r="O10" s="286"/>
      <c r="P10" s="287"/>
    </row>
    <row r="11" spans="1:26" s="18" customFormat="1" ht="21.75" customHeight="1" x14ac:dyDescent="0.25">
      <c r="A11" s="16"/>
      <c r="B11" s="275"/>
      <c r="C11" s="262" t="s">
        <v>10</v>
      </c>
      <c r="D11" s="263"/>
      <c r="E11" s="86">
        <v>0.4916666666666667</v>
      </c>
      <c r="F11" s="264" t="s">
        <v>11</v>
      </c>
      <c r="G11" s="263"/>
      <c r="H11" s="87">
        <v>1.0900000000000001</v>
      </c>
      <c r="I11" s="265" t="s">
        <v>12</v>
      </c>
      <c r="J11" s="266"/>
      <c r="K11" s="87">
        <v>22</v>
      </c>
      <c r="L11" s="262" t="s">
        <v>13</v>
      </c>
      <c r="M11" s="263"/>
      <c r="N11" s="88">
        <v>30.3</v>
      </c>
      <c r="O11" s="253" t="s">
        <v>62</v>
      </c>
      <c r="P11" s="254"/>
    </row>
    <row r="12" spans="1:26" s="18" customFormat="1" ht="21.75" customHeight="1" thickBot="1" x14ac:dyDescent="0.3">
      <c r="A12" s="16"/>
      <c r="B12" s="276"/>
      <c r="C12" s="255" t="s">
        <v>14</v>
      </c>
      <c r="D12" s="256"/>
      <c r="E12" s="86">
        <v>0.53819444444444442</v>
      </c>
      <c r="F12" s="257" t="s">
        <v>15</v>
      </c>
      <c r="G12" s="256"/>
      <c r="H12" s="87">
        <v>1.05</v>
      </c>
      <c r="I12" s="258" t="s">
        <v>16</v>
      </c>
      <c r="J12" s="256"/>
      <c r="K12" s="86">
        <v>0.44791666666666669</v>
      </c>
      <c r="L12" s="255" t="s">
        <v>17</v>
      </c>
      <c r="M12" s="256"/>
      <c r="N12" s="89">
        <v>1.7</v>
      </c>
      <c r="O12" s="259">
        <v>3</v>
      </c>
      <c r="P12" s="260"/>
    </row>
    <row r="13" spans="1:26" s="18" customFormat="1" ht="21.75" customHeight="1" x14ac:dyDescent="0.25">
      <c r="A13" s="16"/>
      <c r="B13" s="238" t="s">
        <v>18</v>
      </c>
      <c r="C13" s="241" t="s">
        <v>63</v>
      </c>
      <c r="D13" s="242"/>
      <c r="E13" s="242"/>
      <c r="F13" s="243" t="s">
        <v>64</v>
      </c>
      <c r="G13" s="242"/>
      <c r="H13" s="242"/>
      <c r="I13" s="242"/>
      <c r="J13" s="243" t="s">
        <v>65</v>
      </c>
      <c r="K13" s="242"/>
      <c r="L13" s="242"/>
      <c r="M13" s="242"/>
      <c r="N13" s="244" t="s">
        <v>66</v>
      </c>
      <c r="O13" s="242"/>
      <c r="P13" s="245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9"/>
      <c r="C14" s="246" t="s">
        <v>67</v>
      </c>
      <c r="D14" s="247"/>
      <c r="E14" s="247"/>
      <c r="F14" s="248" t="s">
        <v>68</v>
      </c>
      <c r="G14" s="247"/>
      <c r="H14" s="247"/>
      <c r="I14" s="247"/>
      <c r="J14" s="249" t="s">
        <v>69</v>
      </c>
      <c r="K14" s="247"/>
      <c r="L14" s="247"/>
      <c r="M14" s="247"/>
      <c r="N14" s="250"/>
      <c r="O14" s="235"/>
      <c r="P14" s="251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40"/>
      <c r="C15" s="252" t="s">
        <v>70</v>
      </c>
      <c r="D15" s="222"/>
      <c r="E15" s="222"/>
      <c r="F15" s="222" t="s">
        <v>71</v>
      </c>
      <c r="G15" s="223"/>
      <c r="H15" s="223"/>
      <c r="I15" s="223"/>
      <c r="J15" s="222" t="s">
        <v>72</v>
      </c>
      <c r="K15" s="223"/>
      <c r="L15" s="223"/>
      <c r="M15" s="223"/>
      <c r="N15" s="224"/>
      <c r="O15" s="225"/>
      <c r="P15" s="226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27" t="s">
        <v>19</v>
      </c>
      <c r="C16" s="229" t="s">
        <v>20</v>
      </c>
      <c r="D16" s="229" t="s">
        <v>40</v>
      </c>
      <c r="E16" s="231" t="s">
        <v>21</v>
      </c>
      <c r="F16" s="232" t="s">
        <v>41</v>
      </c>
      <c r="G16" s="233"/>
      <c r="H16" s="229" t="s">
        <v>73</v>
      </c>
      <c r="I16" s="236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28"/>
      <c r="C17" s="230"/>
      <c r="D17" s="230"/>
      <c r="E17" s="230"/>
      <c r="F17" s="234"/>
      <c r="G17" s="235"/>
      <c r="H17" s="230"/>
      <c r="I17" s="237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3</v>
      </c>
      <c r="D18" s="29">
        <v>0.18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 t="s">
        <v>105</v>
      </c>
      <c r="B19" s="218">
        <v>1</v>
      </c>
      <c r="C19" s="221">
        <f>+C18+$N$12</f>
        <v>4.7</v>
      </c>
      <c r="D19" s="198">
        <v>0.16</v>
      </c>
      <c r="E19" s="198">
        <v>0.247</v>
      </c>
      <c r="F19" s="36" t="s">
        <v>75</v>
      </c>
      <c r="G19" s="37">
        <v>0</v>
      </c>
      <c r="H19" s="38"/>
      <c r="I19" s="39"/>
      <c r="J19" s="40">
        <v>6.3E-2</v>
      </c>
      <c r="K19" s="198">
        <f t="shared" ref="K19" si="0">+IF(E19&lt;=0.12,(J21),(IF(E19&lt;0.16,((J20+2*J21+J22)/4),IF(E19&gt;=0.16,((J19+3*J20+2*J21+3*J22+J23)/10)))))</f>
        <v>7.5399999999999995E-2</v>
      </c>
      <c r="L19" s="198">
        <f>ROUND(+(D18+D19)/2*(C19-C18),3)</f>
        <v>0.28899999999999998</v>
      </c>
      <c r="M19" s="198">
        <f t="shared" ref="M19" si="1">ROUND(+K19*L19,4)</f>
        <v>2.18E-2</v>
      </c>
      <c r="N19" s="201">
        <f t="shared" ref="N19" si="2">ROUND(+M19/$M$128*100,2)</f>
        <v>0.73</v>
      </c>
      <c r="O19" s="202"/>
      <c r="P19" s="203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9"/>
      <c r="C20" s="199"/>
      <c r="D20" s="199"/>
      <c r="E20" s="199"/>
      <c r="F20" s="41" t="s">
        <v>76</v>
      </c>
      <c r="G20" s="42">
        <f t="shared" ref="G20" si="3">IF(E19&lt;0.125,"NA",IF(0.125&lt;=E19,(0.2*E19)))</f>
        <v>4.9399999999999999E-2</v>
      </c>
      <c r="H20" s="43"/>
      <c r="I20" s="44"/>
      <c r="J20" s="45">
        <v>7.5999999999999998E-2</v>
      </c>
      <c r="K20" s="199"/>
      <c r="L20" s="199"/>
      <c r="M20" s="199"/>
      <c r="N20" s="199"/>
      <c r="O20" s="199"/>
      <c r="P20" s="204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9"/>
      <c r="C21" s="199"/>
      <c r="D21" s="199"/>
      <c r="E21" s="199"/>
      <c r="F21" s="41" t="s">
        <v>77</v>
      </c>
      <c r="G21" s="42">
        <f t="shared" ref="G21" si="4">+E19*0.4</f>
        <v>9.8799999999999999E-2</v>
      </c>
      <c r="H21" s="43"/>
      <c r="I21" s="44"/>
      <c r="J21" s="45">
        <v>8.4000000000000005E-2</v>
      </c>
      <c r="K21" s="199"/>
      <c r="L21" s="199"/>
      <c r="M21" s="199"/>
      <c r="N21" s="199"/>
      <c r="O21" s="199"/>
      <c r="P21" s="204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9"/>
      <c r="C22" s="199"/>
      <c r="D22" s="199"/>
      <c r="E22" s="199"/>
      <c r="F22" s="41" t="s">
        <v>78</v>
      </c>
      <c r="G22" s="42">
        <f t="shared" ref="G22" si="5">IF(E19&lt;0.125,"NA",IF(0.125&lt;=E19,(0.8*E19)))</f>
        <v>0.1976</v>
      </c>
      <c r="H22" s="43"/>
      <c r="I22" s="44"/>
      <c r="J22" s="45">
        <v>8.1000000000000003E-2</v>
      </c>
      <c r="K22" s="199"/>
      <c r="L22" s="199"/>
      <c r="M22" s="199"/>
      <c r="N22" s="199"/>
      <c r="O22" s="199"/>
      <c r="P22" s="204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20"/>
      <c r="C23" s="200"/>
      <c r="D23" s="200"/>
      <c r="E23" s="200"/>
      <c r="F23" s="46" t="s">
        <v>79</v>
      </c>
      <c r="G23" s="47">
        <f t="shared" ref="G23" si="6">+E19</f>
        <v>0.247</v>
      </c>
      <c r="H23" s="48"/>
      <c r="I23" s="49"/>
      <c r="J23" s="50">
        <v>5.1999999999999998E-2</v>
      </c>
      <c r="K23" s="200"/>
      <c r="L23" s="200"/>
      <c r="M23" s="200"/>
      <c r="N23" s="200"/>
      <c r="O23" s="200"/>
      <c r="P23" s="205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18">
        <f>+B19+1</f>
        <v>2</v>
      </c>
      <c r="C24" s="221">
        <f>+C19+$N$12</f>
        <v>6.4</v>
      </c>
      <c r="D24" s="198">
        <v>0.247</v>
      </c>
      <c r="E24" s="198">
        <v>0.248</v>
      </c>
      <c r="F24" s="36" t="s">
        <v>75</v>
      </c>
      <c r="G24" s="37">
        <v>0</v>
      </c>
      <c r="H24" s="38"/>
      <c r="I24" s="39"/>
      <c r="J24" s="40">
        <v>0.11799999999999999</v>
      </c>
      <c r="K24" s="198">
        <f t="shared" ref="K24" si="7">+IF(E24&lt;=0.12,(J26),(IF(E24&lt;0.16,((J25+2*J26+J27)/4),IF(E24&gt;=0.16,((J24+3*J25+2*J26+3*J27+J28)/10)))))</f>
        <v>0.22830000000000003</v>
      </c>
      <c r="L24" s="198">
        <f t="shared" ref="L24" si="8">ROUND(+(D19+D24)/2*(C24-C19),3)</f>
        <v>0.34599999999999997</v>
      </c>
      <c r="M24" s="198">
        <f t="shared" ref="M24" si="9">ROUND(+K24*L24,4)</f>
        <v>7.9000000000000001E-2</v>
      </c>
      <c r="N24" s="201">
        <f t="shared" ref="N24" si="10">ROUND(+M24/$M$128*100,2)</f>
        <v>2.64</v>
      </c>
      <c r="O24" s="202"/>
      <c r="P24" s="203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9"/>
      <c r="C25" s="199"/>
      <c r="D25" s="199"/>
      <c r="E25" s="199"/>
      <c r="F25" s="41" t="s">
        <v>76</v>
      </c>
      <c r="G25" s="42">
        <f t="shared" ref="G25" si="11">IF(E24&lt;0.125,"NA",IF(0.125&lt;=E24,(0.2*E24)))</f>
        <v>4.9600000000000005E-2</v>
      </c>
      <c r="H25" s="43"/>
      <c r="I25" s="44"/>
      <c r="J25" s="45">
        <v>0.21099999999999999</v>
      </c>
      <c r="K25" s="199"/>
      <c r="L25" s="199"/>
      <c r="M25" s="199"/>
      <c r="N25" s="199"/>
      <c r="O25" s="199"/>
      <c r="P25" s="204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9"/>
      <c r="C26" s="199"/>
      <c r="D26" s="199"/>
      <c r="E26" s="199"/>
      <c r="F26" s="41" t="s">
        <v>77</v>
      </c>
      <c r="G26" s="42">
        <f t="shared" ref="G26" si="12">+E24*0.4</f>
        <v>9.920000000000001E-2</v>
      </c>
      <c r="H26" s="43"/>
      <c r="I26" s="44"/>
      <c r="J26" s="45">
        <v>0.27500000000000002</v>
      </c>
      <c r="K26" s="199"/>
      <c r="L26" s="199"/>
      <c r="M26" s="199"/>
      <c r="N26" s="199"/>
      <c r="O26" s="199"/>
      <c r="P26" s="204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9"/>
      <c r="C27" s="199"/>
      <c r="D27" s="199"/>
      <c r="E27" s="199"/>
      <c r="F27" s="41" t="s">
        <v>78</v>
      </c>
      <c r="G27" s="42">
        <f t="shared" ref="G27" si="13">IF(E24&lt;0.125,"NA",IF(0.125&lt;=E24,(0.8*E24)))</f>
        <v>0.19840000000000002</v>
      </c>
      <c r="H27" s="43"/>
      <c r="I27" s="44"/>
      <c r="J27" s="45">
        <v>0.28499999999999998</v>
      </c>
      <c r="K27" s="199"/>
      <c r="L27" s="199"/>
      <c r="M27" s="199"/>
      <c r="N27" s="199"/>
      <c r="O27" s="199"/>
      <c r="P27" s="204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20"/>
      <c r="C28" s="200"/>
      <c r="D28" s="200"/>
      <c r="E28" s="200"/>
      <c r="F28" s="46" t="s">
        <v>79</v>
      </c>
      <c r="G28" s="47">
        <f t="shared" ref="G28" si="14">+E24</f>
        <v>0.248</v>
      </c>
      <c r="H28" s="48"/>
      <c r="I28" s="49"/>
      <c r="J28" s="50">
        <v>0.127</v>
      </c>
      <c r="K28" s="200"/>
      <c r="L28" s="200"/>
      <c r="M28" s="200"/>
      <c r="N28" s="200"/>
      <c r="O28" s="200"/>
      <c r="P28" s="205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18">
        <f t="shared" ref="B29" si="15">+B24+1</f>
        <v>3</v>
      </c>
      <c r="C29" s="221">
        <f t="shared" ref="C29" si="16">+C24+$N$12</f>
        <v>8.1</v>
      </c>
      <c r="D29" s="198">
        <v>0.22</v>
      </c>
      <c r="E29" s="198">
        <v>0.22800000000000001</v>
      </c>
      <c r="F29" s="36" t="s">
        <v>75</v>
      </c>
      <c r="G29" s="37">
        <v>0</v>
      </c>
      <c r="H29" s="38"/>
      <c r="I29" s="39"/>
      <c r="J29" s="40">
        <v>0.13600000000000001</v>
      </c>
      <c r="K29" s="198">
        <f t="shared" ref="K29" si="17">+IF(E29&lt;=0.12,(J31),(IF(E29&lt;0.16,((J30+2*J31+J32)/4),IF(E29&gt;=0.16,((J29+3*J30+2*J31+3*J32+J33)/10)))))</f>
        <v>0.29780000000000001</v>
      </c>
      <c r="L29" s="198">
        <f t="shared" ref="L29" si="18">ROUND(+(D24+D29)/2*(C29-C24),3)</f>
        <v>0.39700000000000002</v>
      </c>
      <c r="M29" s="198">
        <f t="shared" ref="M29" si="19">ROUND(+K29*L29,4)</f>
        <v>0.1182</v>
      </c>
      <c r="N29" s="201">
        <f t="shared" ref="N29" si="20">ROUND(+M29/$M$128*100,2)</f>
        <v>3.95</v>
      </c>
      <c r="O29" s="202"/>
      <c r="P29" s="203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9"/>
      <c r="C30" s="199"/>
      <c r="D30" s="199"/>
      <c r="E30" s="199"/>
      <c r="F30" s="41" t="s">
        <v>76</v>
      </c>
      <c r="G30" s="42">
        <f t="shared" ref="G30" si="21">IF(E29&lt;0.125,"NA",IF(0.125&lt;=E29,(0.2*E29)))</f>
        <v>4.5600000000000002E-2</v>
      </c>
      <c r="H30" s="43"/>
      <c r="I30" s="44"/>
      <c r="J30" s="45">
        <v>0.26</v>
      </c>
      <c r="K30" s="199"/>
      <c r="L30" s="199"/>
      <c r="M30" s="199"/>
      <c r="N30" s="199"/>
      <c r="O30" s="199"/>
      <c r="P30" s="20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9"/>
      <c r="C31" s="199"/>
      <c r="D31" s="199"/>
      <c r="E31" s="199"/>
      <c r="F31" s="41" t="s">
        <v>77</v>
      </c>
      <c r="G31" s="42">
        <f t="shared" ref="G31" si="22">+E29*0.4</f>
        <v>9.1200000000000003E-2</v>
      </c>
      <c r="H31" s="43"/>
      <c r="I31" s="44"/>
      <c r="J31" s="45">
        <v>0.32700000000000001</v>
      </c>
      <c r="K31" s="199"/>
      <c r="L31" s="199"/>
      <c r="M31" s="199"/>
      <c r="N31" s="199"/>
      <c r="O31" s="199"/>
      <c r="P31" s="204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9"/>
      <c r="C32" s="199"/>
      <c r="D32" s="199"/>
      <c r="E32" s="199"/>
      <c r="F32" s="41" t="s">
        <v>78</v>
      </c>
      <c r="G32" s="42">
        <f t="shared" ref="G32" si="23">IF(E29&lt;0.125,"NA",IF(0.125&lt;=E29,(0.8*E29)))</f>
        <v>0.18240000000000001</v>
      </c>
      <c r="H32" s="43"/>
      <c r="I32" s="44"/>
      <c r="J32" s="45">
        <v>0.35199999999999998</v>
      </c>
      <c r="K32" s="199"/>
      <c r="L32" s="199"/>
      <c r="M32" s="199"/>
      <c r="N32" s="199"/>
      <c r="O32" s="199"/>
      <c r="P32" s="204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20"/>
      <c r="C33" s="200"/>
      <c r="D33" s="200"/>
      <c r="E33" s="200"/>
      <c r="F33" s="46" t="s">
        <v>79</v>
      </c>
      <c r="G33" s="47">
        <f t="shared" ref="G33" si="24">+E29</f>
        <v>0.22800000000000001</v>
      </c>
      <c r="H33" s="48"/>
      <c r="I33" s="49"/>
      <c r="J33" s="50">
        <v>0.35199999999999998</v>
      </c>
      <c r="K33" s="200"/>
      <c r="L33" s="200"/>
      <c r="M33" s="200"/>
      <c r="N33" s="200"/>
      <c r="O33" s="200"/>
      <c r="P33" s="205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18">
        <f t="shared" ref="B34" si="25">+B29+1</f>
        <v>4</v>
      </c>
      <c r="C34" s="221">
        <f t="shared" ref="C34" si="26">+C29+$N$12</f>
        <v>9.7999999999999989</v>
      </c>
      <c r="D34" s="198">
        <v>0.22700000000000001</v>
      </c>
      <c r="E34" s="198">
        <v>0.22</v>
      </c>
      <c r="F34" s="36" t="s">
        <v>75</v>
      </c>
      <c r="G34" s="37">
        <v>0</v>
      </c>
      <c r="H34" s="38"/>
      <c r="I34" s="39"/>
      <c r="J34" s="40">
        <v>0.23300000000000001</v>
      </c>
      <c r="K34" s="198">
        <f t="shared" ref="K34" si="27">+IF(E34&lt;=0.12,(J36),(IF(E34&lt;0.16,((J35+2*J36+J37)/4),IF(E34&gt;=0.16,((J34+3*J35+2*J36+3*J37+J38)/10)))))</f>
        <v>0.30590000000000001</v>
      </c>
      <c r="L34" s="198">
        <f t="shared" ref="L34" si="28">ROUND(+(D29+D34)/2*(C34-C29),3)</f>
        <v>0.38</v>
      </c>
      <c r="M34" s="198">
        <f t="shared" ref="M34" si="29">ROUND(+K34*L34,4)</f>
        <v>0.1162</v>
      </c>
      <c r="N34" s="201">
        <f t="shared" ref="N34" si="30">ROUND(+M34/$M$128*100,2)</f>
        <v>3.88</v>
      </c>
      <c r="O34" s="202"/>
      <c r="P34" s="203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9"/>
      <c r="C35" s="199"/>
      <c r="D35" s="199"/>
      <c r="E35" s="199"/>
      <c r="F35" s="41" t="s">
        <v>76</v>
      </c>
      <c r="G35" s="42">
        <f t="shared" ref="G35" si="31">IF(E34&lt;0.125,"NA",IF(0.125&lt;=E34,(0.2*E34)))</f>
        <v>4.4000000000000004E-2</v>
      </c>
      <c r="H35" s="43"/>
      <c r="I35" s="44"/>
      <c r="J35" s="45">
        <v>0.29099999999999998</v>
      </c>
      <c r="K35" s="199"/>
      <c r="L35" s="199"/>
      <c r="M35" s="199"/>
      <c r="N35" s="199"/>
      <c r="O35" s="199"/>
      <c r="P35" s="204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9"/>
      <c r="C36" s="199"/>
      <c r="D36" s="199"/>
      <c r="E36" s="199"/>
      <c r="F36" s="41" t="s">
        <v>77</v>
      </c>
      <c r="G36" s="42">
        <f t="shared" ref="G36" si="32">+E34*0.4</f>
        <v>8.8000000000000009E-2</v>
      </c>
      <c r="H36" s="43"/>
      <c r="I36" s="44"/>
      <c r="J36" s="45">
        <v>0.38400000000000001</v>
      </c>
      <c r="K36" s="199"/>
      <c r="L36" s="199"/>
      <c r="M36" s="199"/>
      <c r="N36" s="199"/>
      <c r="O36" s="199"/>
      <c r="P36" s="204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9"/>
      <c r="C37" s="199"/>
      <c r="D37" s="199"/>
      <c r="E37" s="199"/>
      <c r="F37" s="41" t="s">
        <v>78</v>
      </c>
      <c r="G37" s="42">
        <f t="shared" ref="G37" si="33">IF(E34&lt;0.125,"NA",IF(0.125&lt;=E34,(0.8*E34)))</f>
        <v>0.17600000000000002</v>
      </c>
      <c r="H37" s="43"/>
      <c r="I37" s="44"/>
      <c r="J37" s="45">
        <v>0.35499999999999998</v>
      </c>
      <c r="K37" s="199"/>
      <c r="L37" s="199"/>
      <c r="M37" s="199"/>
      <c r="N37" s="199"/>
      <c r="O37" s="199"/>
      <c r="P37" s="204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20"/>
      <c r="C38" s="200"/>
      <c r="D38" s="200"/>
      <c r="E38" s="200"/>
      <c r="F38" s="46" t="s">
        <v>79</v>
      </c>
      <c r="G38" s="47">
        <f t="shared" ref="G38" si="34">+E34</f>
        <v>0.22</v>
      </c>
      <c r="H38" s="48"/>
      <c r="I38" s="49"/>
      <c r="J38" s="50">
        <v>0.12</v>
      </c>
      <c r="K38" s="200"/>
      <c r="L38" s="200"/>
      <c r="M38" s="200"/>
      <c r="N38" s="200"/>
      <c r="O38" s="200"/>
      <c r="P38" s="205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18">
        <f t="shared" ref="B39" si="35">+B34+1</f>
        <v>5</v>
      </c>
      <c r="C39" s="221">
        <f t="shared" ref="C39" si="36">+C34+$N$12</f>
        <v>11.499999999999998</v>
      </c>
      <c r="D39" s="198">
        <v>0.25700000000000001</v>
      </c>
      <c r="E39" s="198">
        <v>0.23599999999999999</v>
      </c>
      <c r="F39" s="36" t="s">
        <v>75</v>
      </c>
      <c r="G39" s="37">
        <v>0</v>
      </c>
      <c r="H39" s="38"/>
      <c r="I39" s="39"/>
      <c r="J39" s="40">
        <v>5.8000000000000003E-2</v>
      </c>
      <c r="K39" s="198"/>
      <c r="L39" s="198"/>
      <c r="M39" s="198"/>
      <c r="N39" s="201"/>
      <c r="O39" s="202"/>
      <c r="P39" s="20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9"/>
      <c r="C40" s="199"/>
      <c r="D40" s="199"/>
      <c r="E40" s="199"/>
      <c r="F40" s="41" t="s">
        <v>76</v>
      </c>
      <c r="G40" s="42">
        <f t="shared" ref="G40" si="37">IF(E39&lt;0.125,"NA",IF(0.125&lt;=E39,(0.2*E39)))</f>
        <v>4.7199999999999999E-2</v>
      </c>
      <c r="H40" s="43"/>
      <c r="I40" s="44"/>
      <c r="J40" s="45">
        <v>0.154</v>
      </c>
      <c r="K40" s="199"/>
      <c r="L40" s="199"/>
      <c r="M40" s="199"/>
      <c r="N40" s="199"/>
      <c r="O40" s="199"/>
      <c r="P40" s="204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9"/>
      <c r="C41" s="199"/>
      <c r="D41" s="199"/>
      <c r="E41" s="199"/>
      <c r="F41" s="41" t="s">
        <v>77</v>
      </c>
      <c r="G41" s="42">
        <f t="shared" ref="G41" si="38">+E39*0.4</f>
        <v>9.4399999999999998E-2</v>
      </c>
      <c r="H41" s="43"/>
      <c r="I41" s="44"/>
      <c r="J41" s="45">
        <v>0.127</v>
      </c>
      <c r="K41" s="199"/>
      <c r="L41" s="199"/>
      <c r="M41" s="199"/>
      <c r="N41" s="199"/>
      <c r="O41" s="199"/>
      <c r="P41" s="20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9"/>
      <c r="C42" s="199"/>
      <c r="D42" s="199"/>
      <c r="E42" s="199"/>
      <c r="F42" s="41" t="s">
        <v>78</v>
      </c>
      <c r="G42" s="42">
        <f t="shared" ref="G42" si="39">IF(E39&lt;0.125,"NA",IF(0.125&lt;=E39,(0.8*E39)))</f>
        <v>0.1888</v>
      </c>
      <c r="H42" s="43"/>
      <c r="I42" s="44"/>
      <c r="J42" s="45">
        <v>0.42499999999999999</v>
      </c>
      <c r="K42" s="199"/>
      <c r="L42" s="199"/>
      <c r="M42" s="199"/>
      <c r="N42" s="199"/>
      <c r="O42" s="199"/>
      <c r="P42" s="204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20"/>
      <c r="C43" s="200"/>
      <c r="D43" s="200"/>
      <c r="E43" s="200"/>
      <c r="F43" s="46" t="s">
        <v>79</v>
      </c>
      <c r="G43" s="47">
        <f t="shared" ref="G43" si="40">+E39</f>
        <v>0.23599999999999999</v>
      </c>
      <c r="H43" s="48"/>
      <c r="I43" s="49"/>
      <c r="J43" s="50">
        <v>8.5000000000000006E-2</v>
      </c>
      <c r="K43" s="200"/>
      <c r="L43" s="200"/>
      <c r="M43" s="200"/>
      <c r="N43" s="200"/>
      <c r="O43" s="200"/>
      <c r="P43" s="205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18">
        <f t="shared" ref="B44" si="41">+B39+1</f>
        <v>6</v>
      </c>
      <c r="C44" s="221">
        <f t="shared" ref="C44" si="42">+C39+$N$12</f>
        <v>13.199999999999998</v>
      </c>
      <c r="D44" s="198">
        <v>0.26900000000000002</v>
      </c>
      <c r="E44" s="198">
        <v>0.29299999999999998</v>
      </c>
      <c r="F44" s="36" t="s">
        <v>75</v>
      </c>
      <c r="G44" s="37">
        <v>0</v>
      </c>
      <c r="H44" s="38"/>
      <c r="I44" s="39"/>
      <c r="J44" s="40">
        <v>0.215</v>
      </c>
      <c r="K44" s="198">
        <f t="shared" ref="K44" si="43">+IF(E44&lt;=0.12,(J46),(IF(E44&lt;0.16,((J45+2*J46+J47)/4),IF(E44&gt;=0.16,((J44+3*J45+2*J46+3*J47+J48)/10)))))</f>
        <v>0.36280000000000001</v>
      </c>
      <c r="L44" s="198">
        <f t="shared" ref="L44" si="44">ROUND(+(D39+D44)/2*(C44-C39),3)</f>
        <v>0.44700000000000001</v>
      </c>
      <c r="M44" s="198">
        <f t="shared" ref="M44" si="45">ROUND(+K44*L44,4)</f>
        <v>0.16220000000000001</v>
      </c>
      <c r="N44" s="201">
        <f t="shared" ref="N44" si="46">ROUND(+M44/$M$128*100,2)</f>
        <v>5.42</v>
      </c>
      <c r="O44" s="202"/>
      <c r="P44" s="203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9"/>
      <c r="C45" s="199"/>
      <c r="D45" s="199"/>
      <c r="E45" s="199"/>
      <c r="F45" s="41" t="s">
        <v>76</v>
      </c>
      <c r="G45" s="42">
        <f t="shared" ref="G45" si="47">IF(E44&lt;0.125,"NA",IF(0.125&lt;=E44,(0.2*E44)))</f>
        <v>5.8599999999999999E-2</v>
      </c>
      <c r="H45" s="43"/>
      <c r="I45" s="44"/>
      <c r="J45" s="45">
        <v>0.313</v>
      </c>
      <c r="K45" s="199"/>
      <c r="L45" s="199"/>
      <c r="M45" s="199"/>
      <c r="N45" s="199"/>
      <c r="O45" s="199"/>
      <c r="P45" s="204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9"/>
      <c r="C46" s="199"/>
      <c r="D46" s="199"/>
      <c r="E46" s="199"/>
      <c r="F46" s="41" t="s">
        <v>77</v>
      </c>
      <c r="G46" s="42">
        <f t="shared" ref="G46" si="48">+E44*0.4</f>
        <v>0.1172</v>
      </c>
      <c r="H46" s="43"/>
      <c r="I46" s="44"/>
      <c r="J46" s="45">
        <v>0.45400000000000001</v>
      </c>
      <c r="K46" s="199"/>
      <c r="L46" s="199"/>
      <c r="M46" s="199"/>
      <c r="N46" s="199"/>
      <c r="O46" s="199"/>
      <c r="P46" s="204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9"/>
      <c r="C47" s="199"/>
      <c r="D47" s="199"/>
      <c r="E47" s="199"/>
      <c r="F47" s="41" t="s">
        <v>78</v>
      </c>
      <c r="G47" s="42">
        <f t="shared" ref="G47" si="49">IF(E44&lt;0.125,"NA",IF(0.125&lt;=E44,(0.8*E44)))</f>
        <v>0.2344</v>
      </c>
      <c r="H47" s="43"/>
      <c r="I47" s="44"/>
      <c r="J47" s="45">
        <v>0.48299999999999998</v>
      </c>
      <c r="K47" s="199"/>
      <c r="L47" s="199"/>
      <c r="M47" s="199"/>
      <c r="N47" s="199"/>
      <c r="O47" s="199"/>
      <c r="P47" s="204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20"/>
      <c r="C48" s="200"/>
      <c r="D48" s="200"/>
      <c r="E48" s="200"/>
      <c r="F48" s="46" t="s">
        <v>79</v>
      </c>
      <c r="G48" s="47">
        <f t="shared" ref="G48" si="50">+E44</f>
        <v>0.29299999999999998</v>
      </c>
      <c r="H48" s="48"/>
      <c r="I48" s="49"/>
      <c r="J48" s="50">
        <v>0.11700000000000001</v>
      </c>
      <c r="K48" s="200"/>
      <c r="L48" s="200"/>
      <c r="M48" s="200"/>
      <c r="N48" s="200"/>
      <c r="O48" s="200"/>
      <c r="P48" s="205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18">
        <f t="shared" ref="B49" si="51">+B44+1</f>
        <v>7</v>
      </c>
      <c r="C49" s="221">
        <f t="shared" ref="C49" si="52">+C44+$N$12</f>
        <v>14.899999999999997</v>
      </c>
      <c r="D49" s="198">
        <v>0.249</v>
      </c>
      <c r="E49" s="198">
        <v>0.222</v>
      </c>
      <c r="F49" s="36" t="s">
        <v>75</v>
      </c>
      <c r="G49" s="37">
        <v>0</v>
      </c>
      <c r="H49" s="38"/>
      <c r="I49" s="39"/>
      <c r="J49" s="40">
        <v>0.35799999999999998</v>
      </c>
      <c r="K49" s="198">
        <f t="shared" ref="K49" si="53">+IF(E49&lt;=0.12,(J51),(IF(E49&lt;0.16,((J50+2*J51+J52)/4),IF(E49&gt;=0.16,((J49+3*J50+2*J51+3*J52+J53)/10)))))</f>
        <v>0.45689999999999992</v>
      </c>
      <c r="L49" s="198">
        <f t="shared" ref="L49" si="54">ROUND(+(D44+D49)/2*(C49-C44),3)</f>
        <v>0.44</v>
      </c>
      <c r="M49" s="198">
        <f t="shared" ref="M49" si="55">ROUND(+K49*L49,4)</f>
        <v>0.20100000000000001</v>
      </c>
      <c r="N49" s="201">
        <f t="shared" ref="N49" si="56">ROUND(+M49/$M$128*100,2)</f>
        <v>6.71</v>
      </c>
      <c r="O49" s="202"/>
      <c r="P49" s="203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9"/>
      <c r="C50" s="199"/>
      <c r="D50" s="199"/>
      <c r="E50" s="199"/>
      <c r="F50" s="41" t="s">
        <v>76</v>
      </c>
      <c r="G50" s="42">
        <f t="shared" ref="G50" si="57">IF(E49&lt;0.125,"NA",IF(0.125&lt;=E49,(0.2*E49)))</f>
        <v>4.4400000000000002E-2</v>
      </c>
      <c r="H50" s="43"/>
      <c r="I50" s="44"/>
      <c r="J50" s="45">
        <v>0.43099999999999999</v>
      </c>
      <c r="K50" s="199"/>
      <c r="L50" s="199"/>
      <c r="M50" s="199"/>
      <c r="N50" s="199"/>
      <c r="O50" s="199"/>
      <c r="P50" s="204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9"/>
      <c r="C51" s="199"/>
      <c r="D51" s="199"/>
      <c r="E51" s="199"/>
      <c r="F51" s="41" t="s">
        <v>77</v>
      </c>
      <c r="G51" s="42">
        <f t="shared" ref="G51" si="58">+E49*0.4</f>
        <v>8.8800000000000004E-2</v>
      </c>
      <c r="H51" s="43"/>
      <c r="I51" s="44"/>
      <c r="J51" s="45">
        <v>0.45100000000000001</v>
      </c>
      <c r="K51" s="199"/>
      <c r="L51" s="199"/>
      <c r="M51" s="199"/>
      <c r="N51" s="199"/>
      <c r="O51" s="199"/>
      <c r="P51" s="204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9"/>
      <c r="C52" s="199"/>
      <c r="D52" s="199"/>
      <c r="E52" s="199"/>
      <c r="F52" s="41" t="s">
        <v>78</v>
      </c>
      <c r="G52" s="42">
        <f t="shared" ref="G52" si="59">IF(E49&lt;0.125,"NA",IF(0.125&lt;=E49,(0.8*E49)))</f>
        <v>0.17760000000000001</v>
      </c>
      <c r="H52" s="43"/>
      <c r="I52" s="44"/>
      <c r="J52" s="45">
        <v>0.58199999999999996</v>
      </c>
      <c r="K52" s="199"/>
      <c r="L52" s="199"/>
      <c r="M52" s="199"/>
      <c r="N52" s="199"/>
      <c r="O52" s="199"/>
      <c r="P52" s="204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20"/>
      <c r="C53" s="200"/>
      <c r="D53" s="200"/>
      <c r="E53" s="200"/>
      <c r="F53" s="46" t="s">
        <v>79</v>
      </c>
      <c r="G53" s="47">
        <f t="shared" ref="G53" si="60">+E49</f>
        <v>0.222</v>
      </c>
      <c r="H53" s="48"/>
      <c r="I53" s="49"/>
      <c r="J53" s="50">
        <v>0.27</v>
      </c>
      <c r="K53" s="200"/>
      <c r="L53" s="200"/>
      <c r="M53" s="200"/>
      <c r="N53" s="200"/>
      <c r="O53" s="200"/>
      <c r="P53" s="205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 t="s">
        <v>105</v>
      </c>
      <c r="B54" s="218">
        <f t="shared" ref="B54" si="61">+B49+1</f>
        <v>8</v>
      </c>
      <c r="C54" s="221">
        <f t="shared" ref="C54" si="62">+C49+$N$12</f>
        <v>16.599999999999998</v>
      </c>
      <c r="D54" s="198">
        <v>0.23599999999999999</v>
      </c>
      <c r="E54" s="198">
        <v>0.28999999999999998</v>
      </c>
      <c r="F54" s="36" t="s">
        <v>75</v>
      </c>
      <c r="G54" s="37">
        <v>0</v>
      </c>
      <c r="H54" s="38"/>
      <c r="I54" s="39"/>
      <c r="J54" s="40">
        <v>0.185</v>
      </c>
      <c r="K54" s="198">
        <f t="shared" ref="K54" si="63">+IF(E54&lt;=0.12,(J56),(IF(E54&lt;0.16,((J55+2*J56+J57)/4),IF(E54&gt;=0.16,((J54+3*J55+2*J56+3*J57+J58)/10)))))</f>
        <v>0.38619999999999999</v>
      </c>
      <c r="L54" s="198">
        <f t="shared" ref="L54" si="64">ROUND(+(D49+D54)/2*(C54-C49),3)</f>
        <v>0.41199999999999998</v>
      </c>
      <c r="M54" s="198">
        <f t="shared" ref="M54" si="65">ROUND(+K54*L54,4)</f>
        <v>0.15909999999999999</v>
      </c>
      <c r="N54" s="201">
        <f t="shared" ref="N54" si="66">ROUND(+M54/$M$128*100,2)</f>
        <v>5.31</v>
      </c>
      <c r="O54" s="202"/>
      <c r="P54" s="203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9"/>
      <c r="C55" s="199"/>
      <c r="D55" s="199"/>
      <c r="E55" s="199"/>
      <c r="F55" s="41" t="s">
        <v>76</v>
      </c>
      <c r="G55" s="42">
        <f t="shared" ref="G55" si="67">IF(E54&lt;0.125,"NA",IF(0.125&lt;=E54,(0.2*E54)))</f>
        <v>5.7999999999999996E-2</v>
      </c>
      <c r="H55" s="43"/>
      <c r="I55" s="44"/>
      <c r="J55" s="45">
        <v>0.36699999999999999</v>
      </c>
      <c r="K55" s="199"/>
      <c r="L55" s="199"/>
      <c r="M55" s="199"/>
      <c r="N55" s="199"/>
      <c r="O55" s="199"/>
      <c r="P55" s="204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9"/>
      <c r="C56" s="199"/>
      <c r="D56" s="199"/>
      <c r="E56" s="199"/>
      <c r="F56" s="41" t="s">
        <v>77</v>
      </c>
      <c r="G56" s="42">
        <f t="shared" ref="G56" si="68">+E54*0.4</f>
        <v>0.11599999999999999</v>
      </c>
      <c r="H56" s="43"/>
      <c r="I56" s="44"/>
      <c r="J56" s="45">
        <v>0.39400000000000002</v>
      </c>
      <c r="K56" s="199"/>
      <c r="L56" s="199"/>
      <c r="M56" s="199"/>
      <c r="N56" s="199"/>
      <c r="O56" s="199"/>
      <c r="P56" s="204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9"/>
      <c r="C57" s="199"/>
      <c r="D57" s="199"/>
      <c r="E57" s="199"/>
      <c r="F57" s="41" t="s">
        <v>78</v>
      </c>
      <c r="G57" s="42">
        <f t="shared" ref="G57" si="69">IF(E54&lt;0.125,"NA",IF(0.125&lt;=E54,(0.8*E54)))</f>
        <v>0.23199999999999998</v>
      </c>
      <c r="H57" s="43"/>
      <c r="I57" s="44"/>
      <c r="J57" s="45">
        <v>0.49</v>
      </c>
      <c r="K57" s="199"/>
      <c r="L57" s="199"/>
      <c r="M57" s="199"/>
      <c r="N57" s="199"/>
      <c r="O57" s="199"/>
      <c r="P57" s="204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20"/>
      <c r="C58" s="200"/>
      <c r="D58" s="200"/>
      <c r="E58" s="200"/>
      <c r="F58" s="46" t="s">
        <v>79</v>
      </c>
      <c r="G58" s="47">
        <f t="shared" ref="G58" si="70">+E54</f>
        <v>0.28999999999999998</v>
      </c>
      <c r="H58" s="48"/>
      <c r="I58" s="49"/>
      <c r="J58" s="50">
        <v>0.318</v>
      </c>
      <c r="K58" s="200"/>
      <c r="L58" s="200"/>
      <c r="M58" s="200"/>
      <c r="N58" s="200"/>
      <c r="O58" s="200"/>
      <c r="P58" s="205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18">
        <f t="shared" ref="B59" si="71">+B54+1</f>
        <v>9</v>
      </c>
      <c r="C59" s="221">
        <f t="shared" ref="C59" si="72">+C54+$N$12</f>
        <v>18.299999999999997</v>
      </c>
      <c r="D59" s="198">
        <v>0.29499999999999998</v>
      </c>
      <c r="E59" s="198">
        <v>0.26600000000000001</v>
      </c>
      <c r="F59" s="36" t="s">
        <v>75</v>
      </c>
      <c r="G59" s="37">
        <v>0</v>
      </c>
      <c r="H59" s="38"/>
      <c r="I59" s="39"/>
      <c r="J59" s="40">
        <v>0.25900000000000001</v>
      </c>
      <c r="K59" s="198">
        <f t="shared" ref="K59" si="73">+IF(E59&lt;=0.12,(J61),(IF(E59&lt;0.16,((J60+2*J61+J62)/4),IF(E59&gt;=0.16,((J59+3*J60+2*J61+3*J62+J63)/10)))))</f>
        <v>0.45740000000000008</v>
      </c>
      <c r="L59" s="198">
        <f t="shared" ref="L59" si="74">ROUND(+(D54+D59)/2*(C59-C54),3)</f>
        <v>0.45100000000000001</v>
      </c>
      <c r="M59" s="198">
        <f t="shared" ref="M59" si="75">ROUND(+K59*L59,4)</f>
        <v>0.20630000000000001</v>
      </c>
      <c r="N59" s="201">
        <f t="shared" ref="N59" si="76">ROUND(+M59/$M$128*100,2)</f>
        <v>6.89</v>
      </c>
      <c r="O59" s="202"/>
      <c r="P59" s="203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9"/>
      <c r="C60" s="199"/>
      <c r="D60" s="199"/>
      <c r="E60" s="199"/>
      <c r="F60" s="41" t="s">
        <v>76</v>
      </c>
      <c r="G60" s="42">
        <f t="shared" ref="G60" si="77">IF(E59&lt;0.125,"NA",IF(0.125&lt;=E59,(0.2*E59)))</f>
        <v>5.3200000000000004E-2</v>
      </c>
      <c r="H60" s="43"/>
      <c r="I60" s="44"/>
      <c r="J60" s="45">
        <v>0.42399999999999999</v>
      </c>
      <c r="K60" s="199"/>
      <c r="L60" s="199"/>
      <c r="M60" s="199"/>
      <c r="N60" s="199"/>
      <c r="O60" s="199"/>
      <c r="P60" s="204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9"/>
      <c r="C61" s="199"/>
      <c r="D61" s="199"/>
      <c r="E61" s="199"/>
      <c r="F61" s="41" t="s">
        <v>77</v>
      </c>
      <c r="G61" s="42">
        <f t="shared" ref="G61" si="78">+E59*0.4</f>
        <v>0.10640000000000001</v>
      </c>
      <c r="H61" s="43"/>
      <c r="I61" s="44"/>
      <c r="J61" s="45">
        <v>0.48499999999999999</v>
      </c>
      <c r="K61" s="199"/>
      <c r="L61" s="199"/>
      <c r="M61" s="199"/>
      <c r="N61" s="199"/>
      <c r="O61" s="199"/>
      <c r="P61" s="204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9"/>
      <c r="C62" s="199"/>
      <c r="D62" s="199"/>
      <c r="E62" s="199"/>
      <c r="F62" s="41" t="s">
        <v>78</v>
      </c>
      <c r="G62" s="42">
        <f t="shared" ref="G62" si="79">IF(E59&lt;0.125,"NA",IF(0.125&lt;=E59,(0.8*E59)))</f>
        <v>0.21280000000000002</v>
      </c>
      <c r="H62" s="43"/>
      <c r="I62" s="44"/>
      <c r="J62" s="45">
        <v>0.56100000000000005</v>
      </c>
      <c r="K62" s="199"/>
      <c r="L62" s="199"/>
      <c r="M62" s="199"/>
      <c r="N62" s="199"/>
      <c r="O62" s="199"/>
      <c r="P62" s="204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20"/>
      <c r="C63" s="200"/>
      <c r="D63" s="200"/>
      <c r="E63" s="200"/>
      <c r="F63" s="46" t="s">
        <v>79</v>
      </c>
      <c r="G63" s="47">
        <f t="shared" ref="G63" si="80">+E59</f>
        <v>0.26600000000000001</v>
      </c>
      <c r="H63" s="48"/>
      <c r="I63" s="49"/>
      <c r="J63" s="50">
        <v>0.39</v>
      </c>
      <c r="K63" s="200"/>
      <c r="L63" s="200"/>
      <c r="M63" s="200"/>
      <c r="N63" s="200"/>
      <c r="O63" s="200"/>
      <c r="P63" s="205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18">
        <f t="shared" ref="B64" si="81">+B59+1</f>
        <v>10</v>
      </c>
      <c r="C64" s="221">
        <f t="shared" ref="C64" si="82">+C59+$N$12</f>
        <v>19.999999999999996</v>
      </c>
      <c r="D64" s="198">
        <v>0.32</v>
      </c>
      <c r="E64" s="198">
        <v>0.32200000000000001</v>
      </c>
      <c r="F64" s="36" t="s">
        <v>75</v>
      </c>
      <c r="G64" s="37">
        <v>0</v>
      </c>
      <c r="H64" s="38"/>
      <c r="I64" s="39"/>
      <c r="J64" s="40">
        <v>0.23899999999999999</v>
      </c>
      <c r="K64" s="198">
        <f t="shared" ref="K64" si="83">+IF(E64&lt;=0.12,(J66),(IF(E64&lt;0.16,((J65+2*J66+J67)/4),IF(E64&gt;=0.16,((J64+3*J65+2*J66+3*J67+J68)/10)))))</f>
        <v>0.45089999999999997</v>
      </c>
      <c r="L64" s="198">
        <f t="shared" ref="L64" si="84">ROUND(+(D59+D64)/2*(C64-C59),3)</f>
        <v>0.52300000000000002</v>
      </c>
      <c r="M64" s="198">
        <f t="shared" ref="M64" si="85">ROUND(+K64*L64,4)</f>
        <v>0.23580000000000001</v>
      </c>
      <c r="N64" s="201">
        <f t="shared" ref="N64" si="86">ROUND(+M64/$M$128*100,2)</f>
        <v>7.88</v>
      </c>
      <c r="O64" s="202"/>
      <c r="P64" s="203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9"/>
      <c r="C65" s="199"/>
      <c r="D65" s="199"/>
      <c r="E65" s="199"/>
      <c r="F65" s="41" t="s">
        <v>76</v>
      </c>
      <c r="G65" s="42">
        <f t="shared" ref="G65" si="87">IF(E64&lt;0.125,"NA",IF(0.125&lt;=E64,(0.2*E64)))</f>
        <v>6.4399999999999999E-2</v>
      </c>
      <c r="H65" s="43"/>
      <c r="I65" s="44"/>
      <c r="J65" s="45">
        <v>0.39300000000000002</v>
      </c>
      <c r="K65" s="199"/>
      <c r="L65" s="199"/>
      <c r="M65" s="199"/>
      <c r="N65" s="199"/>
      <c r="O65" s="199"/>
      <c r="P65" s="204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9"/>
      <c r="C66" s="199"/>
      <c r="D66" s="199"/>
      <c r="E66" s="199"/>
      <c r="F66" s="41" t="s">
        <v>77</v>
      </c>
      <c r="G66" s="42">
        <f t="shared" ref="G66" si="88">+E64*0.4</f>
        <v>0.1288</v>
      </c>
      <c r="H66" s="43"/>
      <c r="I66" s="44"/>
      <c r="J66" s="45">
        <v>0.436</v>
      </c>
      <c r="K66" s="199"/>
      <c r="L66" s="199"/>
      <c r="M66" s="199"/>
      <c r="N66" s="199"/>
      <c r="O66" s="199"/>
      <c r="P66" s="204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9"/>
      <c r="C67" s="199"/>
      <c r="D67" s="199"/>
      <c r="E67" s="199"/>
      <c r="F67" s="41" t="s">
        <v>78</v>
      </c>
      <c r="G67" s="42">
        <f t="shared" ref="G67" si="89">IF(E64&lt;0.125,"NA",IF(0.125&lt;=E64,(0.8*E64)))</f>
        <v>0.2576</v>
      </c>
      <c r="H67" s="43"/>
      <c r="I67" s="44"/>
      <c r="J67" s="45">
        <v>0.56399999999999995</v>
      </c>
      <c r="K67" s="199"/>
      <c r="L67" s="199"/>
      <c r="M67" s="199"/>
      <c r="N67" s="199"/>
      <c r="O67" s="199"/>
      <c r="P67" s="204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20"/>
      <c r="C68" s="200"/>
      <c r="D68" s="200"/>
      <c r="E68" s="200"/>
      <c r="F68" s="46" t="s">
        <v>79</v>
      </c>
      <c r="G68" s="47">
        <f t="shared" ref="G68" si="90">+E64</f>
        <v>0.32200000000000001</v>
      </c>
      <c r="H68" s="48"/>
      <c r="I68" s="49"/>
      <c r="J68" s="50">
        <v>0.52700000000000002</v>
      </c>
      <c r="K68" s="200"/>
      <c r="L68" s="200"/>
      <c r="M68" s="200"/>
      <c r="N68" s="200"/>
      <c r="O68" s="200"/>
      <c r="P68" s="205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18">
        <f t="shared" ref="B69" si="91">+B64+1</f>
        <v>11</v>
      </c>
      <c r="C69" s="221">
        <f t="shared" ref="C69" si="92">+C64+$N$12</f>
        <v>21.699999999999996</v>
      </c>
      <c r="D69" s="198">
        <v>0.30599999999999999</v>
      </c>
      <c r="E69" s="198">
        <v>0.3</v>
      </c>
      <c r="F69" s="36" t="s">
        <v>75</v>
      </c>
      <c r="G69" s="37">
        <v>0</v>
      </c>
      <c r="H69" s="38"/>
      <c r="I69" s="39"/>
      <c r="J69" s="40">
        <v>0.32100000000000001</v>
      </c>
      <c r="K69" s="198">
        <f t="shared" ref="K69" si="93">+IF(E69&lt;=0.12,(J71),(IF(E69&lt;0.16,((J70+2*J71+J72)/4),IF(E69&gt;=0.16,((J69+3*J70+2*J71+3*J72+J73)/10)))))</f>
        <v>0.46209999999999996</v>
      </c>
      <c r="L69" s="198">
        <f t="shared" ref="L69" si="94">ROUND(+(D64+D69)/2*(C69-C64),3)</f>
        <v>0.53200000000000003</v>
      </c>
      <c r="M69" s="198">
        <f t="shared" ref="M69" si="95">ROUND(+K69*L69,4)</f>
        <v>0.24579999999999999</v>
      </c>
      <c r="N69" s="201">
        <f t="shared" ref="N69" si="96">ROUND(+M69/$M$128*100,2)</f>
        <v>8.2100000000000009</v>
      </c>
      <c r="O69" s="202"/>
      <c r="P69" s="203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9"/>
      <c r="C70" s="199"/>
      <c r="D70" s="199"/>
      <c r="E70" s="199"/>
      <c r="F70" s="41" t="s">
        <v>76</v>
      </c>
      <c r="G70" s="42">
        <f t="shared" ref="G70" si="97">IF(E69&lt;0.125,"NA",IF(0.125&lt;=E69,(0.2*E69)))</f>
        <v>0.06</v>
      </c>
      <c r="H70" s="43"/>
      <c r="I70" s="44"/>
      <c r="J70" s="45">
        <v>0.41499999999999998</v>
      </c>
      <c r="K70" s="199"/>
      <c r="L70" s="199"/>
      <c r="M70" s="199"/>
      <c r="N70" s="199"/>
      <c r="O70" s="199"/>
      <c r="P70" s="204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9"/>
      <c r="C71" s="199"/>
      <c r="D71" s="199"/>
      <c r="E71" s="199"/>
      <c r="F71" s="41" t="s">
        <v>77</v>
      </c>
      <c r="G71" s="42">
        <f t="shared" ref="G71" si="98">+E69*0.4</f>
        <v>0.12</v>
      </c>
      <c r="H71" s="43"/>
      <c r="I71" s="44"/>
      <c r="J71" s="45">
        <v>0.45100000000000001</v>
      </c>
      <c r="K71" s="199"/>
      <c r="L71" s="199"/>
      <c r="M71" s="199"/>
      <c r="N71" s="199"/>
      <c r="O71" s="199"/>
      <c r="P71" s="204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9"/>
      <c r="C72" s="199"/>
      <c r="D72" s="199"/>
      <c r="E72" s="199"/>
      <c r="F72" s="41" t="s">
        <v>78</v>
      </c>
      <c r="G72" s="42">
        <f t="shared" ref="G72" si="99">IF(E69&lt;0.125,"NA",IF(0.125&lt;=E69,(0.8*E69)))</f>
        <v>0.24</v>
      </c>
      <c r="H72" s="43"/>
      <c r="I72" s="44"/>
      <c r="J72" s="45">
        <v>0.56999999999999995</v>
      </c>
      <c r="K72" s="199"/>
      <c r="L72" s="199"/>
      <c r="M72" s="199"/>
      <c r="N72" s="199"/>
      <c r="O72" s="199"/>
      <c r="P72" s="204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20"/>
      <c r="C73" s="200"/>
      <c r="D73" s="200"/>
      <c r="E73" s="200"/>
      <c r="F73" s="46" t="s">
        <v>79</v>
      </c>
      <c r="G73" s="47">
        <f t="shared" ref="G73" si="100">+E69</f>
        <v>0.3</v>
      </c>
      <c r="H73" s="48"/>
      <c r="I73" s="49"/>
      <c r="J73" s="50">
        <v>0.443</v>
      </c>
      <c r="K73" s="200"/>
      <c r="L73" s="200"/>
      <c r="M73" s="200"/>
      <c r="N73" s="200"/>
      <c r="O73" s="200"/>
      <c r="P73" s="205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18">
        <f t="shared" ref="B74" si="101">+B69+1</f>
        <v>12</v>
      </c>
      <c r="C74" s="221">
        <f t="shared" ref="C74" si="102">+C69+$N$12</f>
        <v>23.399999999999995</v>
      </c>
      <c r="D74" s="198">
        <v>0.28000000000000003</v>
      </c>
      <c r="E74" s="198">
        <v>0.27</v>
      </c>
      <c r="F74" s="36" t="s">
        <v>75</v>
      </c>
      <c r="G74" s="37">
        <v>0</v>
      </c>
      <c r="H74" s="38"/>
      <c r="I74" s="39"/>
      <c r="J74" s="40">
        <v>0.42</v>
      </c>
      <c r="K74" s="198">
        <f t="shared" ref="K74" si="103">+IF(E74&lt;=0.12,(J76),(IF(E74&lt;0.16,((J75+2*J76+J77)/4),IF(E74&gt;=0.16,((J74+3*J75+2*J76+3*J77+J78)/10)))))</f>
        <v>0.57979999999999987</v>
      </c>
      <c r="L74" s="198">
        <f t="shared" ref="L74" si="104">ROUND(+(D69+D74)/2*(C74-C69),3)</f>
        <v>0.498</v>
      </c>
      <c r="M74" s="198">
        <f t="shared" ref="M74" si="105">ROUND(+K74*L74,4)</f>
        <v>0.28870000000000001</v>
      </c>
      <c r="N74" s="201">
        <f t="shared" ref="N74" si="106">ROUND(+M74/$M$128*100,2)</f>
        <v>9.64</v>
      </c>
      <c r="O74" s="202"/>
      <c r="P74" s="203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9"/>
      <c r="C75" s="199"/>
      <c r="D75" s="199"/>
      <c r="E75" s="199"/>
      <c r="F75" s="41" t="s">
        <v>76</v>
      </c>
      <c r="G75" s="42">
        <f t="shared" ref="G75" si="107">IF(E74&lt;0.125,"NA",IF(0.125&lt;=E74,(0.2*E74)))</f>
        <v>5.4000000000000006E-2</v>
      </c>
      <c r="H75" s="43"/>
      <c r="I75" s="44"/>
      <c r="J75" s="45">
        <v>0.59599999999999997</v>
      </c>
      <c r="K75" s="199"/>
      <c r="L75" s="199"/>
      <c r="M75" s="199"/>
      <c r="N75" s="199"/>
      <c r="O75" s="199"/>
      <c r="P75" s="204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9"/>
      <c r="C76" s="199"/>
      <c r="D76" s="199"/>
      <c r="E76" s="199"/>
      <c r="F76" s="41" t="s">
        <v>77</v>
      </c>
      <c r="G76" s="42">
        <f t="shared" ref="G76" si="108">+E74*0.4</f>
        <v>0.10800000000000001</v>
      </c>
      <c r="H76" s="43"/>
      <c r="I76" s="44"/>
      <c r="J76" s="45">
        <v>0.61599999999999999</v>
      </c>
      <c r="K76" s="199"/>
      <c r="L76" s="199"/>
      <c r="M76" s="199"/>
      <c r="N76" s="199"/>
      <c r="O76" s="199"/>
      <c r="P76" s="204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9"/>
      <c r="C77" s="199"/>
      <c r="D77" s="199"/>
      <c r="E77" s="199"/>
      <c r="F77" s="41" t="s">
        <v>78</v>
      </c>
      <c r="G77" s="42">
        <f t="shared" ref="G77" si="109">IF(E74&lt;0.125,"NA",IF(0.125&lt;=E74,(0.8*E74)))</f>
        <v>0.21600000000000003</v>
      </c>
      <c r="H77" s="43"/>
      <c r="I77" s="44"/>
      <c r="J77" s="45">
        <v>0.60499999999999998</v>
      </c>
      <c r="K77" s="199"/>
      <c r="L77" s="199"/>
      <c r="M77" s="199"/>
      <c r="N77" s="199"/>
      <c r="O77" s="199"/>
      <c r="P77" s="204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20"/>
      <c r="C78" s="200"/>
      <c r="D78" s="200"/>
      <c r="E78" s="200"/>
      <c r="F78" s="46" t="s">
        <v>79</v>
      </c>
      <c r="G78" s="47">
        <f t="shared" ref="G78" si="110">+E74</f>
        <v>0.27</v>
      </c>
      <c r="H78" s="48"/>
      <c r="I78" s="49"/>
      <c r="J78" s="50">
        <v>0.54300000000000004</v>
      </c>
      <c r="K78" s="200"/>
      <c r="L78" s="200"/>
      <c r="M78" s="200"/>
      <c r="N78" s="200"/>
      <c r="O78" s="200"/>
      <c r="P78" s="205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18">
        <f t="shared" ref="B79" si="111">+B74+1</f>
        <v>13</v>
      </c>
      <c r="C79" s="221">
        <f t="shared" ref="C79" si="112">+C74+$N$12</f>
        <v>25.099999999999994</v>
      </c>
      <c r="D79" s="198">
        <v>0.373</v>
      </c>
      <c r="E79" s="198">
        <v>0.33800000000000002</v>
      </c>
      <c r="F79" s="36" t="s">
        <v>75</v>
      </c>
      <c r="G79" s="37">
        <v>0</v>
      </c>
      <c r="H79" s="38"/>
      <c r="I79" s="39"/>
      <c r="J79" s="40">
        <v>0.28599999999999998</v>
      </c>
      <c r="K79" s="198">
        <f t="shared" ref="K79" si="113">+IF(E79&lt;=0.12,(J81),(IF(E79&lt;0.16,((J80+2*J81+J82)/4),IF(E79&gt;=0.16,((J79+3*J80+2*J81+3*J82+J83)/10)))))</f>
        <v>0.43739999999999996</v>
      </c>
      <c r="L79" s="198">
        <f t="shared" ref="L79" si="114">ROUND(+(D74+D79)/2*(C79-C74),3)</f>
        <v>0.55500000000000005</v>
      </c>
      <c r="M79" s="198">
        <f t="shared" ref="M79" si="115">ROUND(+K79*L79,4)</f>
        <v>0.24279999999999999</v>
      </c>
      <c r="N79" s="201">
        <f t="shared" ref="N79" si="116">ROUND(+M79/$M$128*100,2)</f>
        <v>8.11</v>
      </c>
      <c r="O79" s="202"/>
      <c r="P79" s="203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9"/>
      <c r="C80" s="199"/>
      <c r="D80" s="199"/>
      <c r="E80" s="199"/>
      <c r="F80" s="41" t="s">
        <v>76</v>
      </c>
      <c r="G80" s="42">
        <f t="shared" ref="G80" si="117">IF(E79&lt;0.125,"NA",IF(0.125&lt;=E79,(0.2*E79)))</f>
        <v>6.7600000000000007E-2</v>
      </c>
      <c r="H80" s="43"/>
      <c r="I80" s="44"/>
      <c r="J80" s="45">
        <v>0.42299999999999999</v>
      </c>
      <c r="K80" s="199"/>
      <c r="L80" s="199"/>
      <c r="M80" s="199"/>
      <c r="N80" s="199"/>
      <c r="O80" s="199"/>
      <c r="P80" s="204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9"/>
      <c r="C81" s="199"/>
      <c r="D81" s="199"/>
      <c r="E81" s="199"/>
      <c r="F81" s="41" t="s">
        <v>77</v>
      </c>
      <c r="G81" s="42">
        <f t="shared" ref="G81" si="118">+E79*0.4</f>
        <v>0.13520000000000001</v>
      </c>
      <c r="H81" s="43"/>
      <c r="I81" s="44"/>
      <c r="J81" s="45">
        <v>0.39400000000000002</v>
      </c>
      <c r="K81" s="199"/>
      <c r="L81" s="199"/>
      <c r="M81" s="199"/>
      <c r="N81" s="199"/>
      <c r="O81" s="199"/>
      <c r="P81" s="204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9"/>
      <c r="C82" s="199"/>
      <c r="D82" s="199"/>
      <c r="E82" s="199"/>
      <c r="F82" s="41" t="s">
        <v>78</v>
      </c>
      <c r="G82" s="42">
        <f t="shared" ref="G82" si="119">IF(E79&lt;0.125,"NA",IF(0.125&lt;=E79,(0.8*E79)))</f>
        <v>0.27040000000000003</v>
      </c>
      <c r="H82" s="43"/>
      <c r="I82" s="44"/>
      <c r="J82" s="45">
        <v>0.54700000000000004</v>
      </c>
      <c r="K82" s="199"/>
      <c r="L82" s="199"/>
      <c r="M82" s="199"/>
      <c r="N82" s="199"/>
      <c r="O82" s="199"/>
      <c r="P82" s="204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20"/>
      <c r="C83" s="200"/>
      <c r="D83" s="200"/>
      <c r="E83" s="200"/>
      <c r="F83" s="46" t="s">
        <v>79</v>
      </c>
      <c r="G83" s="47">
        <f t="shared" ref="G83" si="120">+E79</f>
        <v>0.33800000000000002</v>
      </c>
      <c r="H83" s="48"/>
      <c r="I83" s="49"/>
      <c r="J83" s="50">
        <v>0.39</v>
      </c>
      <c r="K83" s="200"/>
      <c r="L83" s="200"/>
      <c r="M83" s="200"/>
      <c r="N83" s="200"/>
      <c r="O83" s="200"/>
      <c r="P83" s="205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18">
        <f t="shared" ref="B84" si="121">+B79+1</f>
        <v>14</v>
      </c>
      <c r="C84" s="221">
        <f t="shared" ref="C84" si="122">+C79+$N$12</f>
        <v>26.799999999999994</v>
      </c>
      <c r="D84" s="198">
        <v>0.46400000000000002</v>
      </c>
      <c r="E84" s="198">
        <v>0.44</v>
      </c>
      <c r="F84" s="36" t="s">
        <v>75</v>
      </c>
      <c r="G84" s="37">
        <v>0</v>
      </c>
      <c r="H84" s="38"/>
      <c r="I84" s="39"/>
      <c r="J84" s="40">
        <v>8.6999999999999994E-2</v>
      </c>
      <c r="K84" s="198">
        <f t="shared" ref="K84" si="123">+IF(E84&lt;=0.12,(J86),(IF(E84&lt;0.16,((J85+2*J86+J87)/4),IF(E84&gt;=0.16,((J84+3*J85+2*J86+3*J87+J88)/10)))))</f>
        <v>0.29189999999999999</v>
      </c>
      <c r="L84" s="198">
        <f t="shared" ref="L84" si="124">ROUND(+(D79+D84)/2*(C84-C79),3)</f>
        <v>0.71099999999999997</v>
      </c>
      <c r="M84" s="198">
        <f t="shared" ref="M84" si="125">ROUND(+K84*L84,4)</f>
        <v>0.20749999999999999</v>
      </c>
      <c r="N84" s="201">
        <f t="shared" ref="N84" si="126">ROUND(+M84/$M$128*100,2)</f>
        <v>6.93</v>
      </c>
      <c r="O84" s="202"/>
      <c r="P84" s="203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9"/>
      <c r="C85" s="199"/>
      <c r="D85" s="199"/>
      <c r="E85" s="199"/>
      <c r="F85" s="41" t="s">
        <v>76</v>
      </c>
      <c r="G85" s="42">
        <f t="shared" ref="G85" si="127">IF(E84&lt;0.125,"NA",IF(0.125&lt;=E84,(0.2*E84)))</f>
        <v>8.8000000000000009E-2</v>
      </c>
      <c r="H85" s="43"/>
      <c r="I85" s="44"/>
      <c r="J85" s="45">
        <v>0.17199999999999999</v>
      </c>
      <c r="K85" s="199"/>
      <c r="L85" s="199"/>
      <c r="M85" s="199"/>
      <c r="N85" s="199"/>
      <c r="O85" s="199"/>
      <c r="P85" s="204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9"/>
      <c r="C86" s="199"/>
      <c r="D86" s="199"/>
      <c r="E86" s="199"/>
      <c r="F86" s="41" t="s">
        <v>77</v>
      </c>
      <c r="G86" s="42">
        <f t="shared" ref="G86" si="128">+E84*0.4</f>
        <v>0.17600000000000002</v>
      </c>
      <c r="H86" s="43"/>
      <c r="I86" s="44"/>
      <c r="J86" s="45">
        <v>0.36</v>
      </c>
      <c r="K86" s="199"/>
      <c r="L86" s="199"/>
      <c r="M86" s="199"/>
      <c r="N86" s="199"/>
      <c r="O86" s="199"/>
      <c r="P86" s="204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9"/>
      <c r="C87" s="199"/>
      <c r="D87" s="199"/>
      <c r="E87" s="199"/>
      <c r="F87" s="41" t="s">
        <v>78</v>
      </c>
      <c r="G87" s="42">
        <f t="shared" ref="G87" si="129">IF(E84&lt;0.125,"NA",IF(0.125&lt;=E84,(0.8*E84)))</f>
        <v>0.35200000000000004</v>
      </c>
      <c r="H87" s="43"/>
      <c r="I87" s="44"/>
      <c r="J87" s="45">
        <v>0.38100000000000001</v>
      </c>
      <c r="K87" s="199"/>
      <c r="L87" s="199"/>
      <c r="M87" s="199"/>
      <c r="N87" s="199"/>
      <c r="O87" s="199"/>
      <c r="P87" s="204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20"/>
      <c r="C88" s="200"/>
      <c r="D88" s="200"/>
      <c r="E88" s="200"/>
      <c r="F88" s="46" t="s">
        <v>79</v>
      </c>
      <c r="G88" s="47">
        <f t="shared" ref="G88" si="130">+E84</f>
        <v>0.44</v>
      </c>
      <c r="H88" s="48"/>
      <c r="I88" s="49"/>
      <c r="J88" s="50">
        <v>0.45300000000000001</v>
      </c>
      <c r="K88" s="200"/>
      <c r="L88" s="200"/>
      <c r="M88" s="200"/>
      <c r="N88" s="200"/>
      <c r="O88" s="200"/>
      <c r="P88" s="205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 t="s">
        <v>105</v>
      </c>
      <c r="B89" s="218">
        <f t="shared" ref="B89" si="131">+B84+1</f>
        <v>15</v>
      </c>
      <c r="C89" s="221">
        <f t="shared" ref="C89" si="132">+C84+$N$12</f>
        <v>28.499999999999993</v>
      </c>
      <c r="D89" s="198">
        <v>0.5</v>
      </c>
      <c r="E89" s="198">
        <v>0.52</v>
      </c>
      <c r="F89" s="36" t="s">
        <v>75</v>
      </c>
      <c r="G89" s="37">
        <v>0</v>
      </c>
      <c r="H89" s="38"/>
      <c r="I89" s="39"/>
      <c r="J89" s="40"/>
      <c r="K89" s="198"/>
      <c r="L89" s="198"/>
      <c r="M89" s="198"/>
      <c r="N89" s="201"/>
      <c r="O89" s="202"/>
      <c r="P89" s="203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9"/>
      <c r="C90" s="199"/>
      <c r="D90" s="199"/>
      <c r="E90" s="199"/>
      <c r="F90" s="41" t="s">
        <v>76</v>
      </c>
      <c r="G90" s="42">
        <f t="shared" ref="G90" si="133">IF(E89&lt;0.125,"NA",IF(0.125&lt;=E89,(0.2*E89)))</f>
        <v>0.10400000000000001</v>
      </c>
      <c r="H90" s="43"/>
      <c r="I90" s="44"/>
      <c r="J90" s="45"/>
      <c r="K90" s="199"/>
      <c r="L90" s="199"/>
      <c r="M90" s="199"/>
      <c r="N90" s="199"/>
      <c r="O90" s="199"/>
      <c r="P90" s="204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9"/>
      <c r="C91" s="199"/>
      <c r="D91" s="199"/>
      <c r="E91" s="199"/>
      <c r="F91" s="41" t="s">
        <v>77</v>
      </c>
      <c r="G91" s="42">
        <f t="shared" ref="G91" si="134">+E89*0.4</f>
        <v>0.20800000000000002</v>
      </c>
      <c r="H91" s="43"/>
      <c r="I91" s="44"/>
      <c r="J91" s="45"/>
      <c r="K91" s="199"/>
      <c r="L91" s="199"/>
      <c r="M91" s="199"/>
      <c r="N91" s="199"/>
      <c r="O91" s="199"/>
      <c r="P91" s="204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9"/>
      <c r="C92" s="199"/>
      <c r="D92" s="199"/>
      <c r="E92" s="199"/>
      <c r="F92" s="41" t="s">
        <v>78</v>
      </c>
      <c r="G92" s="42">
        <f t="shared" ref="G92" si="135">IF(E89&lt;0.125,"NA",IF(0.125&lt;=E89,(0.8*E89)))</f>
        <v>0.41600000000000004</v>
      </c>
      <c r="H92" s="43"/>
      <c r="I92" s="44"/>
      <c r="J92" s="45"/>
      <c r="K92" s="199"/>
      <c r="L92" s="199"/>
      <c r="M92" s="199"/>
      <c r="N92" s="199"/>
      <c r="O92" s="199"/>
      <c r="P92" s="204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20"/>
      <c r="C93" s="200"/>
      <c r="D93" s="200"/>
      <c r="E93" s="200"/>
      <c r="F93" s="46" t="s">
        <v>79</v>
      </c>
      <c r="G93" s="47">
        <f t="shared" ref="G93" si="136">+E89</f>
        <v>0.52</v>
      </c>
      <c r="H93" s="48"/>
      <c r="I93" s="49"/>
      <c r="J93" s="50"/>
      <c r="K93" s="200"/>
      <c r="L93" s="200"/>
      <c r="M93" s="200"/>
      <c r="N93" s="200"/>
      <c r="O93" s="200"/>
      <c r="P93" s="205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18">
        <f t="shared" ref="B94" si="137">+B89+1</f>
        <v>16</v>
      </c>
      <c r="C94" s="221">
        <f>+C89+$N$12</f>
        <v>30.199999999999992</v>
      </c>
      <c r="D94" s="198">
        <v>0.42599999999999999</v>
      </c>
      <c r="E94" s="198">
        <v>0.495</v>
      </c>
      <c r="F94" s="36" t="s">
        <v>75</v>
      </c>
      <c r="G94" s="37">
        <v>0</v>
      </c>
      <c r="H94" s="38"/>
      <c r="I94" s="39"/>
      <c r="J94" s="40">
        <v>0.308</v>
      </c>
      <c r="K94" s="198">
        <f t="shared" ref="K94" si="138">+IF(E94&lt;=0.12,(J96),(IF(E94&lt;0.16,((J95+2*J96+J97)/4),IF(E94&gt;=0.16,((J94+3*J95+2*J96+3*J97+J98)/10)))))</f>
        <v>0.30890000000000006</v>
      </c>
      <c r="L94" s="198">
        <f t="shared" ref="L94" si="139">ROUND(+(D89+D94)/2*(C94-C89),3)</f>
        <v>0.78700000000000003</v>
      </c>
      <c r="M94" s="198">
        <f t="shared" ref="M94" si="140">ROUND(+K94*L94,4)</f>
        <v>0.24310000000000001</v>
      </c>
      <c r="N94" s="201">
        <f t="shared" ref="N94" si="141">ROUND(+M94/$M$128*100,2)</f>
        <v>8.1199999999999992</v>
      </c>
      <c r="O94" s="202"/>
      <c r="P94" s="203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9"/>
      <c r="C95" s="199"/>
      <c r="D95" s="199"/>
      <c r="E95" s="199"/>
      <c r="F95" s="41" t="s">
        <v>76</v>
      </c>
      <c r="G95" s="42">
        <f t="shared" ref="G95" si="142">IF(E94&lt;0.125,"NA",IF(0.125&lt;=E94,(0.2*E94)))</f>
        <v>9.9000000000000005E-2</v>
      </c>
      <c r="H95" s="43"/>
      <c r="I95" s="44"/>
      <c r="J95" s="45">
        <v>0.30099999999999999</v>
      </c>
      <c r="K95" s="199"/>
      <c r="L95" s="199"/>
      <c r="M95" s="199"/>
      <c r="N95" s="199"/>
      <c r="O95" s="199"/>
      <c r="P95" s="204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9"/>
      <c r="C96" s="199"/>
      <c r="D96" s="199"/>
      <c r="E96" s="199"/>
      <c r="F96" s="41" t="s">
        <v>77</v>
      </c>
      <c r="G96" s="42">
        <f t="shared" ref="G96" si="143">+E94*0.4</f>
        <v>0.19800000000000001</v>
      </c>
      <c r="H96" s="43"/>
      <c r="I96" s="44"/>
      <c r="J96" s="45">
        <v>0.28899999999999998</v>
      </c>
      <c r="K96" s="199"/>
      <c r="L96" s="199"/>
      <c r="M96" s="199"/>
      <c r="N96" s="199"/>
      <c r="O96" s="199"/>
      <c r="P96" s="204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9"/>
      <c r="C97" s="199"/>
      <c r="D97" s="199"/>
      <c r="E97" s="199"/>
      <c r="F97" s="41" t="s">
        <v>78</v>
      </c>
      <c r="G97" s="42">
        <f t="shared" ref="G97" si="144">IF(E94&lt;0.125,"NA",IF(0.125&lt;=E94,(0.8*E94)))</f>
        <v>0.39600000000000002</v>
      </c>
      <c r="H97" s="43"/>
      <c r="I97" s="44"/>
      <c r="J97" s="45">
        <v>0.34200000000000003</v>
      </c>
      <c r="K97" s="199"/>
      <c r="L97" s="199"/>
      <c r="M97" s="199"/>
      <c r="N97" s="199"/>
      <c r="O97" s="199"/>
      <c r="P97" s="204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20"/>
      <c r="C98" s="200"/>
      <c r="D98" s="200"/>
      <c r="E98" s="200"/>
      <c r="F98" s="46" t="s">
        <v>79</v>
      </c>
      <c r="G98" s="47">
        <f t="shared" ref="G98" si="145">+E94</f>
        <v>0.495</v>
      </c>
      <c r="H98" s="48"/>
      <c r="I98" s="49"/>
      <c r="J98" s="50">
        <v>0.27400000000000002</v>
      </c>
      <c r="K98" s="200"/>
      <c r="L98" s="200"/>
      <c r="M98" s="200"/>
      <c r="N98" s="200"/>
      <c r="O98" s="200"/>
      <c r="P98" s="205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18">
        <f t="shared" ref="B99" si="146">+B94+1</f>
        <v>17</v>
      </c>
      <c r="C99" s="221">
        <f t="shared" ref="C99" si="147">+C94+$N$12</f>
        <v>31.899999999999991</v>
      </c>
      <c r="D99" s="198">
        <v>0.215</v>
      </c>
      <c r="E99" s="198">
        <v>0.28799999999999998</v>
      </c>
      <c r="F99" s="36" t="s">
        <v>75</v>
      </c>
      <c r="G99" s="37">
        <v>0</v>
      </c>
      <c r="H99" s="38"/>
      <c r="I99" s="39"/>
      <c r="J99" s="40">
        <v>0.06</v>
      </c>
      <c r="K99" s="198">
        <f t="shared" ref="K99" si="148">+IF(E99&lt;=0.12,(J101),(IF(E99&lt;0.16,((J100+2*J101+J102)/4),IF(E99&gt;=0.16,((J99+3*J100+2*J101+3*J102+J103)/10)))))</f>
        <v>0.22200000000000003</v>
      </c>
      <c r="L99" s="198">
        <f t="shared" ref="L99" si="149">ROUND(+(D94+D99)/2*(C99-C94),3)</f>
        <v>0.54500000000000004</v>
      </c>
      <c r="M99" s="198">
        <f t="shared" ref="M99" si="150">ROUND(+K99*L99,4)</f>
        <v>0.121</v>
      </c>
      <c r="N99" s="201">
        <f t="shared" ref="N99" si="151">ROUND(+M99/$M$128*100,2)</f>
        <v>4.04</v>
      </c>
      <c r="O99" s="202"/>
      <c r="P99" s="203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9"/>
      <c r="C100" s="199"/>
      <c r="D100" s="199"/>
      <c r="E100" s="199"/>
      <c r="F100" s="41" t="s">
        <v>76</v>
      </c>
      <c r="G100" s="42">
        <f t="shared" ref="G100" si="152">IF(E99&lt;0.125,"NA",IF(0.125&lt;=E99,(0.2*E99)))</f>
        <v>5.7599999999999998E-2</v>
      </c>
      <c r="H100" s="43"/>
      <c r="I100" s="44"/>
      <c r="J100" s="45">
        <v>0.193</v>
      </c>
      <c r="K100" s="199"/>
      <c r="L100" s="199"/>
      <c r="M100" s="199"/>
      <c r="N100" s="199"/>
      <c r="O100" s="199"/>
      <c r="P100" s="204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9"/>
      <c r="C101" s="199"/>
      <c r="D101" s="199"/>
      <c r="E101" s="199"/>
      <c r="F101" s="41" t="s">
        <v>77</v>
      </c>
      <c r="G101" s="42">
        <f t="shared" ref="G101" si="153">+E99*0.4</f>
        <v>0.1152</v>
      </c>
      <c r="H101" s="43"/>
      <c r="I101" s="44"/>
      <c r="J101" s="45">
        <v>0.27600000000000002</v>
      </c>
      <c r="K101" s="199"/>
      <c r="L101" s="199"/>
      <c r="M101" s="199"/>
      <c r="N101" s="199"/>
      <c r="O101" s="199"/>
      <c r="P101" s="204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9"/>
      <c r="C102" s="199"/>
      <c r="D102" s="199"/>
      <c r="E102" s="199"/>
      <c r="F102" s="41" t="s">
        <v>78</v>
      </c>
      <c r="G102" s="42">
        <f t="shared" ref="G102" si="154">IF(E99&lt;0.125,"NA",IF(0.125&lt;=E99,(0.8*E99)))</f>
        <v>0.23039999999999999</v>
      </c>
      <c r="H102" s="43"/>
      <c r="I102" s="44"/>
      <c r="J102" s="45">
        <v>0.26700000000000002</v>
      </c>
      <c r="K102" s="199"/>
      <c r="L102" s="199"/>
      <c r="M102" s="199"/>
      <c r="N102" s="199"/>
      <c r="O102" s="199"/>
      <c r="P102" s="204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20"/>
      <c r="C103" s="200"/>
      <c r="D103" s="200"/>
      <c r="E103" s="200"/>
      <c r="F103" s="46" t="s">
        <v>79</v>
      </c>
      <c r="G103" s="47">
        <f t="shared" ref="G103" si="155">+E99</f>
        <v>0.28799999999999998</v>
      </c>
      <c r="H103" s="48"/>
      <c r="I103" s="49"/>
      <c r="J103" s="50">
        <v>0.22800000000000001</v>
      </c>
      <c r="K103" s="200"/>
      <c r="L103" s="200"/>
      <c r="M103" s="200"/>
      <c r="N103" s="200"/>
      <c r="O103" s="200"/>
      <c r="P103" s="205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18">
        <f t="shared" ref="B104" si="156">+B99+1</f>
        <v>18</v>
      </c>
      <c r="C104" s="221">
        <f>+C99+1.4</f>
        <v>33.29999999999999</v>
      </c>
      <c r="D104" s="198">
        <v>0.19400000000000001</v>
      </c>
      <c r="E104" s="198">
        <v>0.26700000000000002</v>
      </c>
      <c r="F104" s="36" t="s">
        <v>75</v>
      </c>
      <c r="G104" s="37">
        <v>0</v>
      </c>
      <c r="H104" s="38"/>
      <c r="I104" s="39"/>
      <c r="J104" s="40">
        <v>6.5000000000000002E-2</v>
      </c>
      <c r="K104" s="198">
        <f t="shared" ref="K104" si="157">+IF(E104&lt;=0.12,(J106),(IF(E104&lt;0.16,((J105+2*J106+J107)/4),IF(E104&gt;=0.16,((J104+3*J105+2*J106+3*J107+J108)/10)))))</f>
        <v>2.1299999999999999E-2</v>
      </c>
      <c r="L104" s="198">
        <f t="shared" ref="L104" si="158">ROUND(+(D99+D104)/2*(C104-C99),3)</f>
        <v>0.28599999999999998</v>
      </c>
      <c r="M104" s="198">
        <f t="shared" ref="M104" si="159">ROUND(+K104*L104,4)</f>
        <v>6.1000000000000004E-3</v>
      </c>
      <c r="N104" s="201">
        <f t="shared" ref="N104" si="160">ROUND(+M104/$M$128*100,2)</f>
        <v>0.2</v>
      </c>
      <c r="O104" s="202"/>
      <c r="P104" s="203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9"/>
      <c r="C105" s="199"/>
      <c r="D105" s="199"/>
      <c r="E105" s="199"/>
      <c r="F105" s="41" t="s">
        <v>76</v>
      </c>
      <c r="G105" s="42">
        <f t="shared" ref="G105" si="161">IF(E104&lt;0.125,"NA",IF(0.125&lt;=E104,(0.2*E104)))</f>
        <v>5.3400000000000003E-2</v>
      </c>
      <c r="H105" s="43"/>
      <c r="I105" s="44"/>
      <c r="J105" s="45">
        <v>8.0000000000000002E-3</v>
      </c>
      <c r="K105" s="199"/>
      <c r="L105" s="199"/>
      <c r="M105" s="199"/>
      <c r="N105" s="199"/>
      <c r="O105" s="199"/>
      <c r="P105" s="204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9"/>
      <c r="C106" s="199"/>
      <c r="D106" s="199"/>
      <c r="E106" s="199"/>
      <c r="F106" s="41" t="s">
        <v>77</v>
      </c>
      <c r="G106" s="42">
        <f t="shared" ref="G106" si="162">+E104*0.4</f>
        <v>0.10680000000000001</v>
      </c>
      <c r="H106" s="43"/>
      <c r="I106" s="44"/>
      <c r="J106" s="45">
        <v>1.7999999999999999E-2</v>
      </c>
      <c r="K106" s="199"/>
      <c r="L106" s="199"/>
      <c r="M106" s="199"/>
      <c r="N106" s="199"/>
      <c r="O106" s="199"/>
      <c r="P106" s="204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9"/>
      <c r="C107" s="199"/>
      <c r="D107" s="199"/>
      <c r="E107" s="199"/>
      <c r="F107" s="41" t="s">
        <v>78</v>
      </c>
      <c r="G107" s="42">
        <f t="shared" ref="G107" si="163">IF(E104&lt;0.125,"NA",IF(0.125&lt;=E104,(0.8*E104)))</f>
        <v>0.21360000000000001</v>
      </c>
      <c r="H107" s="43"/>
      <c r="I107" s="44"/>
      <c r="J107" s="45">
        <v>2.3E-2</v>
      </c>
      <c r="K107" s="199"/>
      <c r="L107" s="199"/>
      <c r="M107" s="199"/>
      <c r="N107" s="199"/>
      <c r="O107" s="199"/>
      <c r="P107" s="204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20"/>
      <c r="C108" s="200"/>
      <c r="D108" s="200"/>
      <c r="E108" s="200"/>
      <c r="F108" s="46" t="s">
        <v>79</v>
      </c>
      <c r="G108" s="47">
        <f t="shared" ref="G108" si="164">+E104</f>
        <v>0.26700000000000002</v>
      </c>
      <c r="H108" s="48"/>
      <c r="I108" s="49"/>
      <c r="J108" s="50">
        <v>1.9E-2</v>
      </c>
      <c r="K108" s="200"/>
      <c r="L108" s="200"/>
      <c r="M108" s="200"/>
      <c r="N108" s="200"/>
      <c r="O108" s="200"/>
      <c r="P108" s="205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" customFormat="1" ht="13.5" customHeight="1" x14ac:dyDescent="0.2">
      <c r="B109" s="206" t="s">
        <v>28</v>
      </c>
      <c r="C109" s="209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1"/>
    </row>
    <row r="110" spans="1:26" s="3" customFormat="1" ht="14.1" customHeight="1" x14ac:dyDescent="0.2">
      <c r="B110" s="207"/>
      <c r="C110" s="212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4"/>
    </row>
    <row r="111" spans="1:26" s="3" customFormat="1" ht="14.1" customHeight="1" x14ac:dyDescent="0.2">
      <c r="B111" s="207"/>
      <c r="C111" s="212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4"/>
    </row>
    <row r="112" spans="1:26" s="3" customFormat="1" ht="14.1" customHeight="1" x14ac:dyDescent="0.2">
      <c r="B112" s="207"/>
      <c r="C112" s="212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4"/>
    </row>
    <row r="113" spans="1:26" s="3" customFormat="1" ht="14.1" customHeight="1" x14ac:dyDescent="0.2">
      <c r="B113" s="207"/>
      <c r="C113" s="212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4"/>
    </row>
    <row r="114" spans="1:26" s="3" customFormat="1" ht="14.1" customHeight="1" thickBot="1" x14ac:dyDescent="0.25">
      <c r="B114" s="208"/>
      <c r="C114" s="215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7"/>
    </row>
    <row r="115" spans="1:26" s="3" customFormat="1" ht="28.5" customHeight="1" thickBot="1" x14ac:dyDescent="0.25">
      <c r="A115" s="51"/>
      <c r="B115" s="52" t="s">
        <v>80</v>
      </c>
      <c r="C115" s="185" t="s">
        <v>81</v>
      </c>
      <c r="D115" s="185"/>
      <c r="E115" s="185"/>
      <c r="F115" s="185"/>
      <c r="G115" s="185"/>
      <c r="H115" s="186"/>
      <c r="I115" s="187"/>
      <c r="J115" s="52" t="s">
        <v>82</v>
      </c>
      <c r="K115" s="185" t="s">
        <v>83</v>
      </c>
      <c r="L115" s="185"/>
      <c r="M115" s="185"/>
      <c r="N115" s="185"/>
      <c r="O115" s="185"/>
      <c r="P115" s="186"/>
    </row>
    <row r="116" spans="1:26" s="3" customFormat="1" ht="28.5" customHeight="1" thickBot="1" x14ac:dyDescent="0.25">
      <c r="B116" s="53" t="s">
        <v>84</v>
      </c>
      <c r="C116" s="189" t="s">
        <v>85</v>
      </c>
      <c r="D116" s="189"/>
      <c r="E116" s="189"/>
      <c r="F116" s="189"/>
      <c r="G116" s="189"/>
      <c r="H116" s="190"/>
      <c r="I116" s="188"/>
      <c r="J116" s="53" t="s">
        <v>86</v>
      </c>
      <c r="K116" s="189" t="s">
        <v>87</v>
      </c>
      <c r="L116" s="189"/>
      <c r="M116" s="189"/>
      <c r="N116" s="189"/>
      <c r="O116" s="189"/>
      <c r="P116" s="190"/>
    </row>
    <row r="117" spans="1:26" s="91" customFormat="1" ht="13.5" customHeight="1" x14ac:dyDescent="0.25">
      <c r="A117" s="54"/>
      <c r="B117" s="191">
        <f>+B89</f>
        <v>15</v>
      </c>
      <c r="C117" s="194">
        <f>+C84</f>
        <v>26.799999999999994</v>
      </c>
      <c r="D117" s="196">
        <f>+D84</f>
        <v>0.46400000000000002</v>
      </c>
      <c r="E117" s="196">
        <f>+E39</f>
        <v>0.23599999999999999</v>
      </c>
      <c r="F117" s="55" t="s">
        <v>75</v>
      </c>
      <c r="G117" s="55">
        <v>0.01</v>
      </c>
      <c r="H117" s="56"/>
      <c r="I117" s="57"/>
      <c r="J117" s="58">
        <v>8.7999999999999995E-2</v>
      </c>
      <c r="K117" s="197">
        <f>+AVERAGE(J117:J127)</f>
        <v>0.41427272727272729</v>
      </c>
      <c r="L117" s="176">
        <f>ROUND(+(D117+D122)/2*(C122-C117),3)</f>
        <v>0.81899999999999995</v>
      </c>
      <c r="M117" s="179">
        <f>ROUND(+K117*L117,4)</f>
        <v>0.33929999999999999</v>
      </c>
      <c r="N117" s="176">
        <f>ROUND(+M117/$M$128*100,2)</f>
        <v>11.33</v>
      </c>
      <c r="O117" s="176"/>
      <c r="P117" s="180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s="91" customFormat="1" ht="13.5" customHeight="1" x14ac:dyDescent="0.25">
      <c r="A118" s="54"/>
      <c r="B118" s="192"/>
      <c r="C118" s="177"/>
      <c r="D118" s="177"/>
      <c r="E118" s="177"/>
      <c r="F118" s="60" t="s">
        <v>88</v>
      </c>
      <c r="G118" s="61">
        <f>+E117*0.1</f>
        <v>2.3599999999999999E-2</v>
      </c>
      <c r="H118" s="62"/>
      <c r="I118" s="63"/>
      <c r="J118" s="64">
        <v>0.26400000000000001</v>
      </c>
      <c r="K118" s="177"/>
      <c r="L118" s="177"/>
      <c r="M118" s="177"/>
      <c r="N118" s="177"/>
      <c r="O118" s="177"/>
      <c r="P118" s="181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s="91" customFormat="1" ht="13.5" customHeight="1" x14ac:dyDescent="0.25">
      <c r="A119" s="54"/>
      <c r="B119" s="192"/>
      <c r="C119" s="177"/>
      <c r="D119" s="177"/>
      <c r="E119" s="177"/>
      <c r="F119" s="60" t="s">
        <v>89</v>
      </c>
      <c r="G119" s="61">
        <f>+E117*0.2</f>
        <v>4.7199999999999999E-2</v>
      </c>
      <c r="H119" s="62"/>
      <c r="I119" s="63"/>
      <c r="J119" s="64">
        <v>0.29599999999999999</v>
      </c>
      <c r="K119" s="177"/>
      <c r="L119" s="177"/>
      <c r="M119" s="177"/>
      <c r="N119" s="177"/>
      <c r="O119" s="177"/>
      <c r="P119" s="181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s="91" customFormat="1" ht="13.5" customHeight="1" x14ac:dyDescent="0.25">
      <c r="A120" s="54"/>
      <c r="B120" s="192"/>
      <c r="C120" s="177"/>
      <c r="D120" s="177"/>
      <c r="E120" s="177"/>
      <c r="F120" s="60" t="s">
        <v>90</v>
      </c>
      <c r="G120" s="61">
        <f>+E117*0.3</f>
        <v>7.0799999999999988E-2</v>
      </c>
      <c r="H120" s="62"/>
      <c r="I120" s="63"/>
      <c r="J120" s="64">
        <v>0.41699999999999998</v>
      </c>
      <c r="K120" s="177"/>
      <c r="L120" s="177"/>
      <c r="M120" s="177"/>
      <c r="N120" s="177"/>
      <c r="O120" s="177"/>
      <c r="P120" s="181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s="91" customFormat="1" ht="13.5" customHeight="1" x14ac:dyDescent="0.25">
      <c r="A121" s="54"/>
      <c r="B121" s="192"/>
      <c r="C121" s="195"/>
      <c r="D121" s="195"/>
      <c r="E121" s="177"/>
      <c r="F121" s="60" t="s">
        <v>91</v>
      </c>
      <c r="G121" s="61">
        <f>+E117*0.4</f>
        <v>9.4399999999999998E-2</v>
      </c>
      <c r="H121" s="62"/>
      <c r="I121" s="63"/>
      <c r="J121" s="64">
        <v>0.47</v>
      </c>
      <c r="K121" s="177"/>
      <c r="L121" s="177"/>
      <c r="M121" s="177"/>
      <c r="N121" s="177"/>
      <c r="O121" s="177"/>
      <c r="P121" s="181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s="91" customFormat="1" ht="13.5" customHeight="1" x14ac:dyDescent="0.25">
      <c r="A122" s="54"/>
      <c r="B122" s="192"/>
      <c r="C122" s="183">
        <f>+C89</f>
        <v>28.499999999999993</v>
      </c>
      <c r="D122" s="184">
        <f>+D89</f>
        <v>0.5</v>
      </c>
      <c r="E122" s="177"/>
      <c r="F122" s="60" t="s">
        <v>29</v>
      </c>
      <c r="G122" s="61">
        <f>+E117*0.5</f>
        <v>0.11799999999999999</v>
      </c>
      <c r="H122" s="62"/>
      <c r="I122" s="63"/>
      <c r="J122" s="64">
        <v>0.47899999999999998</v>
      </c>
      <c r="K122" s="177"/>
      <c r="L122" s="177"/>
      <c r="M122" s="177"/>
      <c r="N122" s="177"/>
      <c r="O122" s="177"/>
      <c r="P122" s="181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91" customFormat="1" ht="13.5" customHeight="1" x14ac:dyDescent="0.25">
      <c r="A123" s="54"/>
      <c r="B123" s="192"/>
      <c r="C123" s="177"/>
      <c r="D123" s="177"/>
      <c r="E123" s="177"/>
      <c r="F123" s="60" t="s">
        <v>92</v>
      </c>
      <c r="G123" s="61">
        <f>+E117*0.6</f>
        <v>0.14159999999999998</v>
      </c>
      <c r="H123" s="62"/>
      <c r="I123" s="63"/>
      <c r="J123" s="64">
        <v>0.50900000000000001</v>
      </c>
      <c r="K123" s="177"/>
      <c r="L123" s="177"/>
      <c r="M123" s="177"/>
      <c r="N123" s="177"/>
      <c r="O123" s="177"/>
      <c r="P123" s="181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91" customFormat="1" ht="13.5" customHeight="1" x14ac:dyDescent="0.25">
      <c r="A124" s="54"/>
      <c r="B124" s="192"/>
      <c r="C124" s="177"/>
      <c r="D124" s="177"/>
      <c r="E124" s="177"/>
      <c r="F124" s="60" t="s">
        <v>93</v>
      </c>
      <c r="G124" s="61">
        <f>+E117*0.7</f>
        <v>0.16519999999999999</v>
      </c>
      <c r="H124" s="62"/>
      <c r="I124" s="63"/>
      <c r="J124" s="64">
        <v>0.53800000000000003</v>
      </c>
      <c r="K124" s="177"/>
      <c r="L124" s="177"/>
      <c r="M124" s="177"/>
      <c r="N124" s="177"/>
      <c r="O124" s="177"/>
      <c r="P124" s="181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91" customFormat="1" ht="13.5" customHeight="1" x14ac:dyDescent="0.25">
      <c r="A125" s="54"/>
      <c r="B125" s="192"/>
      <c r="C125" s="177"/>
      <c r="D125" s="177"/>
      <c r="E125" s="177"/>
      <c r="F125" s="60" t="s">
        <v>94</v>
      </c>
      <c r="G125" s="61">
        <f>+E117*0.8</f>
        <v>0.1888</v>
      </c>
      <c r="H125" s="62"/>
      <c r="I125" s="63"/>
      <c r="J125" s="64">
        <v>0.52200000000000002</v>
      </c>
      <c r="K125" s="177"/>
      <c r="L125" s="177"/>
      <c r="M125" s="177"/>
      <c r="N125" s="177"/>
      <c r="O125" s="177"/>
      <c r="P125" s="181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91" customFormat="1" ht="13.5" customHeight="1" x14ac:dyDescent="0.25">
      <c r="A126" s="54"/>
      <c r="B126" s="192"/>
      <c r="C126" s="177"/>
      <c r="D126" s="177"/>
      <c r="E126" s="177"/>
      <c r="F126" s="60" t="s">
        <v>95</v>
      </c>
      <c r="G126" s="61">
        <f>+E117*0.9</f>
        <v>0.21240000000000001</v>
      </c>
      <c r="H126" s="62"/>
      <c r="I126" s="63"/>
      <c r="J126" s="64">
        <v>0.53300000000000003</v>
      </c>
      <c r="K126" s="177"/>
      <c r="L126" s="177"/>
      <c r="M126" s="177"/>
      <c r="N126" s="177"/>
      <c r="O126" s="177"/>
      <c r="P126" s="181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s="91" customFormat="1" ht="15.75" thickBot="1" x14ac:dyDescent="0.3">
      <c r="A127" s="54"/>
      <c r="B127" s="193"/>
      <c r="C127" s="178"/>
      <c r="D127" s="178"/>
      <c r="E127" s="178"/>
      <c r="F127" s="65" t="s">
        <v>30</v>
      </c>
      <c r="G127" s="65">
        <f>+E117</f>
        <v>0.23599999999999999</v>
      </c>
      <c r="H127" s="66"/>
      <c r="I127" s="67"/>
      <c r="J127" s="68">
        <v>0.441</v>
      </c>
      <c r="K127" s="178"/>
      <c r="L127" s="178"/>
      <c r="M127" s="178"/>
      <c r="N127" s="178"/>
      <c r="O127" s="178"/>
      <c r="P127" s="182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3" customFormat="1" ht="12.75" x14ac:dyDescent="0.2">
      <c r="A128" s="8"/>
      <c r="B128" s="164" t="s">
        <v>103</v>
      </c>
      <c r="C128" s="164"/>
      <c r="D128" s="164"/>
      <c r="E128" s="164"/>
      <c r="F128" s="164"/>
      <c r="G128" s="164"/>
      <c r="H128" s="164"/>
      <c r="I128" s="164"/>
      <c r="J128" s="164"/>
      <c r="K128" s="13">
        <f>ROUND(+M128/L128,3)</f>
        <v>0.35599999999999998</v>
      </c>
      <c r="L128" s="12">
        <f>SUM(L19:L127)</f>
        <v>8.4179999999999993</v>
      </c>
      <c r="M128" s="11">
        <f>SUM(M19:M127)</f>
        <v>2.9939000000000004</v>
      </c>
      <c r="N128" s="9">
        <f>ROUND(SUM(N19:N127),0)</f>
        <v>100</v>
      </c>
      <c r="O128" s="166" t="s">
        <v>31</v>
      </c>
      <c r="P128" s="168"/>
    </row>
    <row r="129" spans="1:16" s="3" customFormat="1" ht="15" customHeight="1" thickBot="1" x14ac:dyDescent="0.25">
      <c r="A129" s="8"/>
      <c r="B129" s="165"/>
      <c r="C129" s="165"/>
      <c r="D129" s="165"/>
      <c r="E129" s="165"/>
      <c r="F129" s="165"/>
      <c r="G129" s="165"/>
      <c r="H129" s="165"/>
      <c r="I129" s="165"/>
      <c r="J129" s="165"/>
      <c r="K129" s="10" t="s">
        <v>32</v>
      </c>
      <c r="L129" s="10" t="s">
        <v>48</v>
      </c>
      <c r="M129" s="10" t="s">
        <v>100</v>
      </c>
      <c r="N129" s="10" t="s">
        <v>33</v>
      </c>
      <c r="O129" s="167"/>
      <c r="P129" s="169"/>
    </row>
    <row r="130" spans="1:16" ht="15" customHeight="1" thickBot="1" x14ac:dyDescent="0.3">
      <c r="A130" s="93"/>
      <c r="B130" s="170" t="s">
        <v>96</v>
      </c>
      <c r="C130" s="171"/>
      <c r="D130" s="171"/>
      <c r="E130" s="171"/>
      <c r="F130" s="172"/>
      <c r="G130" s="170" t="s">
        <v>97</v>
      </c>
      <c r="H130" s="171"/>
      <c r="I130" s="171"/>
      <c r="J130" s="171"/>
      <c r="K130" s="172"/>
      <c r="L130" s="173" t="s">
        <v>49</v>
      </c>
      <c r="M130" s="174"/>
      <c r="N130" s="174"/>
      <c r="O130" s="174"/>
      <c r="P130" s="175"/>
    </row>
    <row r="131" spans="1:16" ht="15" customHeight="1" x14ac:dyDescent="0.25">
      <c r="A131" s="93"/>
      <c r="B131" s="134"/>
      <c r="C131" s="135"/>
      <c r="D131" s="135"/>
      <c r="E131" s="135"/>
      <c r="F131" s="136"/>
      <c r="G131" s="134"/>
      <c r="H131" s="135"/>
      <c r="I131" s="135"/>
      <c r="J131" s="135"/>
      <c r="K131" s="136"/>
      <c r="L131" s="143" t="s">
        <v>98</v>
      </c>
      <c r="M131" s="144"/>
      <c r="N131" s="144"/>
      <c r="O131" s="145">
        <f>+AVERAGE(E18:E108)</f>
        <v>0.30499999999999999</v>
      </c>
      <c r="P131" s="146"/>
    </row>
    <row r="132" spans="1:16" ht="15" customHeight="1" thickBot="1" x14ac:dyDescent="0.3">
      <c r="A132" s="93"/>
      <c r="B132" s="137"/>
      <c r="C132" s="138"/>
      <c r="D132" s="138"/>
      <c r="E132" s="138"/>
      <c r="F132" s="139"/>
      <c r="G132" s="137"/>
      <c r="H132" s="138"/>
      <c r="I132" s="138"/>
      <c r="J132" s="138"/>
      <c r="K132" s="139"/>
      <c r="L132" s="147" t="s">
        <v>99</v>
      </c>
      <c r="M132" s="148"/>
      <c r="N132" s="148"/>
      <c r="O132" s="149">
        <f>MAX(E18:E108)</f>
        <v>0.52</v>
      </c>
      <c r="P132" s="150"/>
    </row>
    <row r="133" spans="1:16" ht="18.600000000000001" customHeight="1" x14ac:dyDescent="0.25">
      <c r="A133" s="94"/>
      <c r="B133" s="137"/>
      <c r="C133" s="138"/>
      <c r="D133" s="138"/>
      <c r="E133" s="138"/>
      <c r="F133" s="139"/>
      <c r="G133" s="137"/>
      <c r="H133" s="138"/>
      <c r="I133" s="138"/>
      <c r="J133" s="138"/>
      <c r="K133" s="139"/>
      <c r="L133" s="151"/>
      <c r="M133" s="152"/>
      <c r="N133" s="152"/>
      <c r="O133" s="152"/>
      <c r="P133" s="153"/>
    </row>
    <row r="134" spans="1:16" ht="42" customHeight="1" x14ac:dyDescent="0.25">
      <c r="A134" s="95"/>
      <c r="B134" s="137"/>
      <c r="C134" s="138"/>
      <c r="D134" s="138"/>
      <c r="E134" s="138"/>
      <c r="F134" s="139"/>
      <c r="G134" s="137"/>
      <c r="H134" s="138"/>
      <c r="I134" s="138"/>
      <c r="J134" s="138"/>
      <c r="K134" s="139"/>
      <c r="L134" s="154"/>
      <c r="M134" s="155"/>
      <c r="N134" s="155"/>
      <c r="O134" s="155"/>
      <c r="P134" s="156"/>
    </row>
    <row r="135" spans="1:16" ht="15" customHeight="1" thickBot="1" x14ac:dyDescent="0.3">
      <c r="A135" s="93"/>
      <c r="B135" s="137"/>
      <c r="C135" s="138"/>
      <c r="D135" s="138"/>
      <c r="E135" s="138"/>
      <c r="F135" s="139"/>
      <c r="G135" s="137"/>
      <c r="H135" s="138"/>
      <c r="I135" s="138"/>
      <c r="J135" s="138"/>
      <c r="K135" s="139"/>
      <c r="L135" s="157"/>
      <c r="M135" s="158"/>
      <c r="N135" s="158"/>
      <c r="O135" s="158"/>
      <c r="P135" s="159"/>
    </row>
    <row r="136" spans="1:16" ht="22.5" customHeight="1" thickBot="1" x14ac:dyDescent="0.3">
      <c r="A136" s="93"/>
      <c r="B136" s="137"/>
      <c r="C136" s="138"/>
      <c r="D136" s="138"/>
      <c r="E136" s="138"/>
      <c r="F136" s="139"/>
      <c r="G136" s="137"/>
      <c r="H136" s="138"/>
      <c r="I136" s="138"/>
      <c r="J136" s="138"/>
      <c r="K136" s="139"/>
      <c r="L136" s="160" t="s">
        <v>34</v>
      </c>
      <c r="M136" s="161"/>
      <c r="N136" s="161"/>
      <c r="O136" s="161"/>
      <c r="P136" s="90">
        <v>7.81</v>
      </c>
    </row>
    <row r="137" spans="1:16" ht="32.25" customHeight="1" thickBot="1" x14ac:dyDescent="0.3">
      <c r="A137" s="93"/>
      <c r="B137" s="140"/>
      <c r="C137" s="141"/>
      <c r="D137" s="141"/>
      <c r="E137" s="141"/>
      <c r="F137" s="142"/>
      <c r="G137" s="140"/>
      <c r="H137" s="141"/>
      <c r="I137" s="141"/>
      <c r="J137" s="141"/>
      <c r="K137" s="142"/>
      <c r="L137" s="162" t="s">
        <v>102</v>
      </c>
      <c r="M137" s="163"/>
      <c r="N137" s="163"/>
      <c r="O137" s="163"/>
      <c r="P137" s="90" t="s">
        <v>104</v>
      </c>
    </row>
    <row r="138" spans="1:16" ht="23.45" customHeight="1" thickBot="1" x14ac:dyDescent="0.3">
      <c r="A138" s="5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</row>
    <row r="139" spans="1:16" ht="15.75" thickBot="1" x14ac:dyDescent="0.3">
      <c r="A139" s="117" t="s">
        <v>35</v>
      </c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9"/>
    </row>
    <row r="140" spans="1:16" ht="159" customHeight="1" thickBot="1" x14ac:dyDescent="0.3">
      <c r="A140" s="4"/>
      <c r="B140" s="120"/>
      <c r="C140" s="121"/>
      <c r="D140" s="121"/>
      <c r="E140" s="121"/>
      <c r="F140" s="122"/>
      <c r="G140" s="120"/>
      <c r="H140" s="121"/>
      <c r="I140" s="121"/>
      <c r="J140" s="121"/>
      <c r="K140" s="122"/>
      <c r="L140" s="120"/>
      <c r="M140" s="121"/>
      <c r="N140" s="121"/>
      <c r="O140" s="121"/>
      <c r="P140" s="122"/>
    </row>
    <row r="141" spans="1:16" ht="21.75" customHeight="1" thickBot="1" x14ac:dyDescent="0.3">
      <c r="A141" s="4"/>
      <c r="B141" s="127" t="s">
        <v>115</v>
      </c>
      <c r="C141" s="128"/>
      <c r="D141" s="128"/>
      <c r="E141" s="128"/>
      <c r="F141" s="129"/>
      <c r="G141" s="127" t="s">
        <v>114</v>
      </c>
      <c r="H141" s="128"/>
      <c r="I141" s="128"/>
      <c r="J141" s="128"/>
      <c r="K141" s="129"/>
      <c r="L141" s="127" t="s">
        <v>117</v>
      </c>
      <c r="M141" s="128"/>
      <c r="N141" s="128"/>
      <c r="O141" s="128"/>
      <c r="P141" s="129"/>
    </row>
    <row r="142" spans="1:16" s="7" customFormat="1" ht="16.899999999999999" customHeight="1" thickBot="1" x14ac:dyDescent="0.3">
      <c r="A142" s="6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10"/>
    </row>
    <row r="143" spans="1:16" s="3" customFormat="1" ht="15.75" customHeight="1" thickBot="1" x14ac:dyDescent="0.25">
      <c r="A143" s="111" t="s">
        <v>36</v>
      </c>
      <c r="B143" s="112"/>
      <c r="C143" s="113"/>
      <c r="D143" s="312"/>
      <c r="E143" s="112"/>
      <c r="F143" s="112"/>
      <c r="G143" s="112"/>
      <c r="H143" s="112"/>
      <c r="I143" s="113"/>
      <c r="J143" s="312" t="s">
        <v>37</v>
      </c>
      <c r="K143" s="113"/>
      <c r="L143" s="312"/>
      <c r="M143" s="112"/>
      <c r="N143" s="112"/>
      <c r="O143" s="112"/>
      <c r="P143" s="313"/>
    </row>
  </sheetData>
  <mergeCells count="28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104:M108"/>
    <mergeCell ref="N104:N108"/>
    <mergeCell ref="O104:O108"/>
    <mergeCell ref="P104:P108"/>
    <mergeCell ref="B109:B114"/>
    <mergeCell ref="C109:P114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C115:H115"/>
    <mergeCell ref="I115:I116"/>
    <mergeCell ref="K115:P115"/>
    <mergeCell ref="C116:H116"/>
    <mergeCell ref="K116:P116"/>
    <mergeCell ref="B117:B127"/>
    <mergeCell ref="C117:C121"/>
    <mergeCell ref="D117:D121"/>
    <mergeCell ref="E117:E127"/>
    <mergeCell ref="K117:K127"/>
    <mergeCell ref="B128:J129"/>
    <mergeCell ref="O128:O129"/>
    <mergeCell ref="P128:P129"/>
    <mergeCell ref="B130:F130"/>
    <mergeCell ref="G130:K130"/>
    <mergeCell ref="L130:P130"/>
    <mergeCell ref="L117:L127"/>
    <mergeCell ref="M117:M127"/>
    <mergeCell ref="N117:N127"/>
    <mergeCell ref="O117:O127"/>
    <mergeCell ref="P117:P127"/>
    <mergeCell ref="C122:C127"/>
    <mergeCell ref="D122:D127"/>
    <mergeCell ref="B131:F137"/>
    <mergeCell ref="G131:K137"/>
    <mergeCell ref="L131:N131"/>
    <mergeCell ref="O131:P131"/>
    <mergeCell ref="L132:N132"/>
    <mergeCell ref="O132:P132"/>
    <mergeCell ref="L133:P135"/>
    <mergeCell ref="L136:O136"/>
    <mergeCell ref="L137:O137"/>
    <mergeCell ref="B142:P142"/>
    <mergeCell ref="A143:C143"/>
    <mergeCell ref="D143:I143"/>
    <mergeCell ref="J143:K143"/>
    <mergeCell ref="L143:P143"/>
    <mergeCell ref="B138:P138"/>
    <mergeCell ref="A139:P139"/>
    <mergeCell ref="B140:F140"/>
    <mergeCell ref="G140:K140"/>
    <mergeCell ref="L140:P140"/>
    <mergeCell ref="B141:F141"/>
    <mergeCell ref="G141:K141"/>
    <mergeCell ref="L141:P141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2019-05-17T15:52:47Z</dcterms:modified>
</cp:coreProperties>
</file>