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142" r:id="rId2"/>
    <sheet name="Aforo 2" sheetId="143" r:id="rId3"/>
    <sheet name="Aforo 3" sheetId="144" r:id="rId4"/>
    <sheet name="Aforo 4" sheetId="145" r:id="rId5"/>
  </sheets>
  <definedNames>
    <definedName name="_xlnm.Print_Area" localSheetId="1">'Aforo 1'!$B$1:$P$148</definedName>
    <definedName name="_xlnm.Print_Area" localSheetId="2">'Aforo 2'!$B$1:$P$153</definedName>
    <definedName name="_xlnm.Print_Area" localSheetId="3">'Aforo 3'!$B$1:$P$143</definedName>
    <definedName name="_xlnm.Print_Area" localSheetId="4">'Aforo 4'!$B$1:$P$143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2" i="145" l="1"/>
  <c r="O131" i="145"/>
  <c r="G126" i="145"/>
  <c r="G122" i="145"/>
  <c r="D122" i="145"/>
  <c r="G120" i="145"/>
  <c r="K117" i="145"/>
  <c r="E117" i="145"/>
  <c r="G125" i="145" s="1"/>
  <c r="D117" i="145"/>
  <c r="G108" i="145"/>
  <c r="G107" i="145"/>
  <c r="G106" i="145"/>
  <c r="G105" i="145"/>
  <c r="K104" i="145"/>
  <c r="G103" i="145"/>
  <c r="G102" i="145"/>
  <c r="G101" i="145"/>
  <c r="G100" i="145"/>
  <c r="G98" i="145"/>
  <c r="G97" i="145"/>
  <c r="G96" i="145"/>
  <c r="G95" i="145"/>
  <c r="K94" i="145"/>
  <c r="G93" i="145"/>
  <c r="G92" i="145"/>
  <c r="G91" i="145"/>
  <c r="G90" i="145"/>
  <c r="K89" i="145"/>
  <c r="G88" i="145"/>
  <c r="G87" i="145"/>
  <c r="G86" i="145"/>
  <c r="G85" i="145"/>
  <c r="K84" i="145"/>
  <c r="G83" i="145"/>
  <c r="G82" i="145"/>
  <c r="G81" i="145"/>
  <c r="G80" i="145"/>
  <c r="K79" i="145"/>
  <c r="G78" i="145"/>
  <c r="G77" i="145"/>
  <c r="G76" i="145"/>
  <c r="G75" i="145"/>
  <c r="K74" i="145"/>
  <c r="G73" i="145"/>
  <c r="G72" i="145"/>
  <c r="G71" i="145"/>
  <c r="G70" i="145"/>
  <c r="K69" i="145"/>
  <c r="G68" i="145"/>
  <c r="G67" i="145"/>
  <c r="G66" i="145"/>
  <c r="G65" i="145"/>
  <c r="K64" i="145"/>
  <c r="G63" i="145"/>
  <c r="G62" i="145"/>
  <c r="G61" i="145"/>
  <c r="G60" i="145"/>
  <c r="K59" i="145"/>
  <c r="G58" i="145"/>
  <c r="G57" i="145"/>
  <c r="G56" i="145"/>
  <c r="G55" i="145"/>
  <c r="K54" i="145"/>
  <c r="G53" i="145"/>
  <c r="G52" i="145"/>
  <c r="G51" i="145"/>
  <c r="G50" i="145"/>
  <c r="K49" i="145"/>
  <c r="G48" i="145"/>
  <c r="G47" i="145"/>
  <c r="G46" i="145"/>
  <c r="G45" i="145"/>
  <c r="K44" i="145"/>
  <c r="G43" i="145"/>
  <c r="G42" i="145"/>
  <c r="G41" i="145"/>
  <c r="G40" i="145"/>
  <c r="K39" i="145"/>
  <c r="G38" i="145"/>
  <c r="G37" i="145"/>
  <c r="G36" i="145"/>
  <c r="G35" i="145"/>
  <c r="G33" i="145"/>
  <c r="G32" i="145"/>
  <c r="G31" i="145"/>
  <c r="G30" i="145"/>
  <c r="K29" i="145"/>
  <c r="G28" i="145"/>
  <c r="G27" i="145"/>
  <c r="G26" i="145"/>
  <c r="G25" i="145"/>
  <c r="K24" i="145"/>
  <c r="B24" i="145"/>
  <c r="B29" i="145" s="1"/>
  <c r="B34" i="145" s="1"/>
  <c r="B39" i="145" s="1"/>
  <c r="B44" i="145" s="1"/>
  <c r="B49" i="145" s="1"/>
  <c r="B54" i="145" s="1"/>
  <c r="B59" i="145" s="1"/>
  <c r="B64" i="145" s="1"/>
  <c r="B69" i="145" s="1"/>
  <c r="B74" i="145" s="1"/>
  <c r="B79" i="145" s="1"/>
  <c r="B84" i="145" s="1"/>
  <c r="B89" i="145" s="1"/>
  <c r="B94" i="145" s="1"/>
  <c r="B99" i="145" s="1"/>
  <c r="G23" i="145"/>
  <c r="G22" i="145"/>
  <c r="G21" i="145"/>
  <c r="G20" i="145"/>
  <c r="K19" i="145"/>
  <c r="C18" i="145"/>
  <c r="C19" i="145" s="1"/>
  <c r="C24" i="145" l="1"/>
  <c r="L19" i="145"/>
  <c r="B117" i="145"/>
  <c r="B104" i="145"/>
  <c r="G121" i="145"/>
  <c r="G123" i="145"/>
  <c r="G127" i="145"/>
  <c r="G118" i="145"/>
  <c r="G124" i="145"/>
  <c r="G119" i="145"/>
  <c r="C29" i="145" l="1"/>
  <c r="L24" i="145"/>
  <c r="M24" i="145" s="1"/>
  <c r="M19" i="145"/>
  <c r="C34" i="145" l="1"/>
  <c r="C39" i="145" s="1"/>
  <c r="L29" i="145"/>
  <c r="M29" i="145" s="1"/>
  <c r="C44" i="145" l="1"/>
  <c r="L39" i="145"/>
  <c r="M39" i="145" s="1"/>
  <c r="C49" i="145" l="1"/>
  <c r="L44" i="145"/>
  <c r="M44" i="145" s="1"/>
  <c r="C54" i="145" l="1"/>
  <c r="L49" i="145"/>
  <c r="M49" i="145" s="1"/>
  <c r="C59" i="145" l="1"/>
  <c r="L54" i="145"/>
  <c r="M54" i="145" s="1"/>
  <c r="C64" i="145" l="1"/>
  <c r="L59" i="145"/>
  <c r="M59" i="145" s="1"/>
  <c r="C69" i="145" l="1"/>
  <c r="L64" i="145"/>
  <c r="M64" i="145" s="1"/>
  <c r="C74" i="145" l="1"/>
  <c r="L69" i="145"/>
  <c r="M69" i="145" s="1"/>
  <c r="C79" i="145" l="1"/>
  <c r="L74" i="145"/>
  <c r="M74" i="145" s="1"/>
  <c r="C84" i="145" l="1"/>
  <c r="L79" i="145"/>
  <c r="M79" i="145" s="1"/>
  <c r="C89" i="145" l="1"/>
  <c r="L84" i="145"/>
  <c r="M84" i="145" s="1"/>
  <c r="C94" i="145" l="1"/>
  <c r="L89" i="145"/>
  <c r="M89" i="145" s="1"/>
  <c r="C117" i="145" l="1"/>
  <c r="C99" i="145"/>
  <c r="L94" i="145"/>
  <c r="M94" i="145" s="1"/>
  <c r="C122" i="145" l="1"/>
  <c r="L117" i="145" s="1"/>
  <c r="C104" i="145"/>
  <c r="L104" i="145" s="1"/>
  <c r="M104" i="145" s="1"/>
  <c r="M117" i="145" l="1"/>
  <c r="L128" i="145"/>
  <c r="M128" i="145" l="1"/>
  <c r="K128" i="145" l="1"/>
  <c r="N24" i="145"/>
  <c r="N19" i="145"/>
  <c r="N29" i="145"/>
  <c r="N39" i="145"/>
  <c r="N44" i="145"/>
  <c r="N49" i="145"/>
  <c r="N54" i="145"/>
  <c r="N59" i="145"/>
  <c r="N64" i="145"/>
  <c r="N69" i="145"/>
  <c r="N74" i="145"/>
  <c r="N79" i="145"/>
  <c r="N84" i="145"/>
  <c r="N89" i="145"/>
  <c r="N94" i="145"/>
  <c r="N104" i="145"/>
  <c r="N117" i="145"/>
  <c r="N128" i="145" l="1"/>
  <c r="O132" i="144" l="1"/>
  <c r="O131" i="144"/>
  <c r="G126" i="144"/>
  <c r="G125" i="144"/>
  <c r="G124" i="144"/>
  <c r="G122" i="144"/>
  <c r="D122" i="144"/>
  <c r="G120" i="144"/>
  <c r="G119" i="144"/>
  <c r="G118" i="144"/>
  <c r="K117" i="144"/>
  <c r="E117" i="144"/>
  <c r="G127" i="144" s="1"/>
  <c r="D117" i="144"/>
  <c r="G108" i="144"/>
  <c r="G107" i="144"/>
  <c r="G106" i="144"/>
  <c r="G105" i="144"/>
  <c r="K104" i="144"/>
  <c r="G103" i="144"/>
  <c r="G102" i="144"/>
  <c r="G101" i="144"/>
  <c r="G100" i="144"/>
  <c r="K99" i="144"/>
  <c r="G98" i="144"/>
  <c r="G97" i="144"/>
  <c r="G96" i="144"/>
  <c r="G95" i="144"/>
  <c r="K94" i="144"/>
  <c r="G93" i="144"/>
  <c r="G92" i="144"/>
  <c r="G91" i="144"/>
  <c r="G90" i="144"/>
  <c r="K89" i="144"/>
  <c r="G88" i="144"/>
  <c r="G87" i="144"/>
  <c r="G86" i="144"/>
  <c r="G85" i="144"/>
  <c r="K84" i="144"/>
  <c r="G83" i="144"/>
  <c r="G82" i="144"/>
  <c r="G81" i="144"/>
  <c r="G80" i="144"/>
  <c r="K79" i="144"/>
  <c r="G78" i="144"/>
  <c r="G77" i="144"/>
  <c r="G76" i="144"/>
  <c r="G75" i="144"/>
  <c r="K74" i="144"/>
  <c r="G73" i="144"/>
  <c r="G72" i="144"/>
  <c r="G71" i="144"/>
  <c r="G70" i="144"/>
  <c r="K69" i="144"/>
  <c r="G68" i="144"/>
  <c r="G67" i="144"/>
  <c r="G66" i="144"/>
  <c r="G65" i="144"/>
  <c r="K64" i="144"/>
  <c r="G63" i="144"/>
  <c r="G62" i="144"/>
  <c r="G61" i="144"/>
  <c r="G60" i="144"/>
  <c r="K59" i="144"/>
  <c r="G58" i="144"/>
  <c r="G57" i="144"/>
  <c r="G56" i="144"/>
  <c r="G55" i="144"/>
  <c r="K54" i="144"/>
  <c r="G53" i="144"/>
  <c r="G52" i="144"/>
  <c r="G51" i="144"/>
  <c r="G50" i="144"/>
  <c r="K49" i="144"/>
  <c r="G48" i="144"/>
  <c r="G47" i="144"/>
  <c r="G46" i="144"/>
  <c r="G45" i="144"/>
  <c r="K44" i="144"/>
  <c r="G43" i="144"/>
  <c r="G42" i="144"/>
  <c r="G41" i="144"/>
  <c r="G40" i="144"/>
  <c r="K39" i="144"/>
  <c r="G38" i="144"/>
  <c r="G37" i="144"/>
  <c r="G36" i="144"/>
  <c r="G35" i="144"/>
  <c r="G33" i="144"/>
  <c r="G32" i="144"/>
  <c r="G31" i="144"/>
  <c r="G30" i="144"/>
  <c r="K29" i="144"/>
  <c r="G28" i="144"/>
  <c r="G27" i="144"/>
  <c r="G26" i="144"/>
  <c r="G25" i="144"/>
  <c r="K24" i="144"/>
  <c r="G23" i="144"/>
  <c r="G22" i="144"/>
  <c r="G21" i="144"/>
  <c r="G20" i="144"/>
  <c r="K19" i="144"/>
  <c r="C18" i="144"/>
  <c r="C19" i="144" s="1"/>
  <c r="L19" i="144" l="1"/>
  <c r="C24" i="144"/>
  <c r="G121" i="144"/>
  <c r="G123" i="144"/>
  <c r="M19" i="144" l="1"/>
  <c r="C29" i="144"/>
  <c r="L24" i="144"/>
  <c r="M24" i="144" s="1"/>
  <c r="C117" i="144" l="1"/>
  <c r="L29" i="144"/>
  <c r="M29" i="144" s="1"/>
  <c r="C34" i="144"/>
  <c r="C122" i="144" l="1"/>
  <c r="L117" i="144" s="1"/>
  <c r="M117" i="144" s="1"/>
  <c r="C39" i="144"/>
  <c r="L39" i="144" l="1"/>
  <c r="C44" i="144"/>
  <c r="C49" i="144" l="1"/>
  <c r="L44" i="144"/>
  <c r="M44" i="144" s="1"/>
  <c r="M39" i="144"/>
  <c r="L49" i="144" l="1"/>
  <c r="C54" i="144"/>
  <c r="M49" i="144" l="1"/>
  <c r="L54" i="144"/>
  <c r="M54" i="144" s="1"/>
  <c r="C59" i="144"/>
  <c r="L59" i="144" l="1"/>
  <c r="M59" i="144" s="1"/>
  <c r="C64" i="144"/>
  <c r="C69" i="144" l="1"/>
  <c r="L64" i="144"/>
  <c r="M64" i="144" s="1"/>
  <c r="L69" i="144" l="1"/>
  <c r="M69" i="144" s="1"/>
  <c r="C74" i="144"/>
  <c r="L74" i="144" l="1"/>
  <c r="M74" i="144" s="1"/>
  <c r="C79" i="144"/>
  <c r="L79" i="144" l="1"/>
  <c r="M79" i="144" s="1"/>
  <c r="C84" i="144"/>
  <c r="C89" i="144" l="1"/>
  <c r="L84" i="144"/>
  <c r="M84" i="144" s="1"/>
  <c r="L89" i="144" l="1"/>
  <c r="M89" i="144" s="1"/>
  <c r="C94" i="144"/>
  <c r="L94" i="144" l="1"/>
  <c r="M94" i="144" s="1"/>
  <c r="C99" i="144"/>
  <c r="L99" i="144" l="1"/>
  <c r="M99" i="144" s="1"/>
  <c r="C104" i="144"/>
  <c r="L104" i="144" s="1"/>
  <c r="M104" i="144" l="1"/>
  <c r="L128" i="144"/>
  <c r="M128" i="144" l="1"/>
  <c r="K128" i="144" l="1"/>
  <c r="N24" i="144"/>
  <c r="N19" i="144"/>
  <c r="N29" i="144"/>
  <c r="N117" i="144"/>
  <c r="N44" i="144"/>
  <c r="N39" i="144"/>
  <c r="N54" i="144"/>
  <c r="N49" i="144"/>
  <c r="N59" i="144"/>
  <c r="N64" i="144"/>
  <c r="N69" i="144"/>
  <c r="N74" i="144"/>
  <c r="N79" i="144"/>
  <c r="N84" i="144"/>
  <c r="N89" i="144"/>
  <c r="N94" i="144"/>
  <c r="N99" i="144"/>
  <c r="N104" i="144"/>
  <c r="N128" i="144" l="1"/>
  <c r="O142" i="143" l="1"/>
  <c r="O141" i="143"/>
  <c r="G136" i="143"/>
  <c r="G132" i="143"/>
  <c r="D132" i="143"/>
  <c r="G130" i="143"/>
  <c r="K127" i="143"/>
  <c r="E127" i="143"/>
  <c r="G135" i="143" s="1"/>
  <c r="D127" i="143"/>
  <c r="G118" i="143"/>
  <c r="G117" i="143"/>
  <c r="G116" i="143"/>
  <c r="G115" i="143"/>
  <c r="K114" i="143"/>
  <c r="G113" i="143"/>
  <c r="G112" i="143"/>
  <c r="G111" i="143"/>
  <c r="G110" i="143"/>
  <c r="K109" i="143"/>
  <c r="G108" i="143"/>
  <c r="G107" i="143"/>
  <c r="G106" i="143"/>
  <c r="G105" i="143"/>
  <c r="K104" i="143"/>
  <c r="G103" i="143"/>
  <c r="G102" i="143"/>
  <c r="G101" i="143"/>
  <c r="G100" i="143"/>
  <c r="K99" i="143"/>
  <c r="G98" i="143"/>
  <c r="G97" i="143"/>
  <c r="G96" i="143"/>
  <c r="G95" i="143"/>
  <c r="K94" i="143"/>
  <c r="G93" i="143"/>
  <c r="G92" i="143"/>
  <c r="G91" i="143"/>
  <c r="G90" i="143"/>
  <c r="K89" i="143"/>
  <c r="G88" i="143"/>
  <c r="G87" i="143"/>
  <c r="G86" i="143"/>
  <c r="G85" i="143"/>
  <c r="K84" i="143"/>
  <c r="G83" i="143"/>
  <c r="G82" i="143"/>
  <c r="G81" i="143"/>
  <c r="G80" i="143"/>
  <c r="K79" i="143"/>
  <c r="G78" i="143"/>
  <c r="G77" i="143"/>
  <c r="G76" i="143"/>
  <c r="G75" i="143"/>
  <c r="K74" i="143"/>
  <c r="G73" i="143"/>
  <c r="G72" i="143"/>
  <c r="G71" i="143"/>
  <c r="G70" i="143"/>
  <c r="K69" i="143"/>
  <c r="G68" i="143"/>
  <c r="G67" i="143"/>
  <c r="G66" i="143"/>
  <c r="G65" i="143"/>
  <c r="K64" i="143"/>
  <c r="G63" i="143"/>
  <c r="G62" i="143"/>
  <c r="G61" i="143"/>
  <c r="G60" i="143"/>
  <c r="K59" i="143"/>
  <c r="G58" i="143"/>
  <c r="G57" i="143"/>
  <c r="G56" i="143"/>
  <c r="G55" i="143"/>
  <c r="K54" i="143"/>
  <c r="G53" i="143"/>
  <c r="G52" i="143"/>
  <c r="G51" i="143"/>
  <c r="G50" i="143"/>
  <c r="K49" i="143"/>
  <c r="G48" i="143"/>
  <c r="G47" i="143"/>
  <c r="G46" i="143"/>
  <c r="G45" i="143"/>
  <c r="G43" i="143"/>
  <c r="G42" i="143"/>
  <c r="G41" i="143"/>
  <c r="G40" i="143"/>
  <c r="K39" i="143"/>
  <c r="G38" i="143"/>
  <c r="G37" i="143"/>
  <c r="G36" i="143"/>
  <c r="G35" i="143"/>
  <c r="K34" i="143"/>
  <c r="G33" i="143"/>
  <c r="G32" i="143"/>
  <c r="G31" i="143"/>
  <c r="G30" i="143"/>
  <c r="K29" i="143"/>
  <c r="G28" i="143"/>
  <c r="G27" i="143"/>
  <c r="G26" i="143"/>
  <c r="G25" i="143"/>
  <c r="K24" i="143"/>
  <c r="G23" i="143"/>
  <c r="G22" i="143"/>
  <c r="G21" i="143"/>
  <c r="G20" i="143"/>
  <c r="K19" i="143"/>
  <c r="C18" i="143"/>
  <c r="C19" i="143" s="1"/>
  <c r="C24" i="143" l="1"/>
  <c r="L19" i="143"/>
  <c r="G131" i="143"/>
  <c r="G133" i="143"/>
  <c r="G137" i="143"/>
  <c r="G128" i="143"/>
  <c r="G134" i="143"/>
  <c r="G129" i="143"/>
  <c r="L24" i="143" l="1"/>
  <c r="M24" i="143" s="1"/>
  <c r="C29" i="143"/>
  <c r="M19" i="143"/>
  <c r="L29" i="143" l="1"/>
  <c r="M29" i="143" s="1"/>
  <c r="C34" i="143"/>
  <c r="C39" i="143" l="1"/>
  <c r="L34" i="143"/>
  <c r="M34" i="143" s="1"/>
  <c r="C127" i="143" l="1"/>
  <c r="L39" i="143"/>
  <c r="M39" i="143" s="1"/>
  <c r="C44" i="143"/>
  <c r="C132" i="143" l="1"/>
  <c r="L127" i="143" s="1"/>
  <c r="C49" i="143"/>
  <c r="L49" i="143" l="1"/>
  <c r="M49" i="143" s="1"/>
  <c r="C54" i="143"/>
  <c r="M127" i="143"/>
  <c r="C59" i="143" l="1"/>
  <c r="L54" i="143"/>
  <c r="M54" i="143" l="1"/>
  <c r="C64" i="143"/>
  <c r="L59" i="143"/>
  <c r="M59" i="143" s="1"/>
  <c r="L64" i="143" l="1"/>
  <c r="M64" i="143" s="1"/>
  <c r="C69" i="143"/>
  <c r="L69" i="143" l="1"/>
  <c r="C74" i="143"/>
  <c r="M69" i="143" l="1"/>
  <c r="C79" i="143"/>
  <c r="L74" i="143"/>
  <c r="M74" i="143" s="1"/>
  <c r="C84" i="143" l="1"/>
  <c r="L79" i="143"/>
  <c r="M79" i="143" s="1"/>
  <c r="L84" i="143" l="1"/>
  <c r="M84" i="143" s="1"/>
  <c r="C89" i="143"/>
  <c r="L89" i="143" l="1"/>
  <c r="M89" i="143" s="1"/>
  <c r="C94" i="143"/>
  <c r="C99" i="143" l="1"/>
  <c r="L94" i="143"/>
  <c r="M94" i="143" s="1"/>
  <c r="L99" i="143" l="1"/>
  <c r="M99" i="143" s="1"/>
  <c r="C104" i="143"/>
  <c r="L104" i="143" l="1"/>
  <c r="M104" i="143" s="1"/>
  <c r="C109" i="143"/>
  <c r="L109" i="143" l="1"/>
  <c r="M109" i="143" s="1"/>
  <c r="C114" i="143"/>
  <c r="L114" i="143" s="1"/>
  <c r="M114" i="143" l="1"/>
  <c r="L138" i="143"/>
  <c r="M138" i="143" l="1"/>
  <c r="K138" i="143" l="1"/>
  <c r="N19" i="143"/>
  <c r="N24" i="143"/>
  <c r="N29" i="143"/>
  <c r="N34" i="143"/>
  <c r="N39" i="143"/>
  <c r="N127" i="143"/>
  <c r="N49" i="143"/>
  <c r="N59" i="143"/>
  <c r="N54" i="143"/>
  <c r="N64" i="143"/>
  <c r="N74" i="143"/>
  <c r="N69" i="143"/>
  <c r="N79" i="143"/>
  <c r="N84" i="143"/>
  <c r="N89" i="143"/>
  <c r="N94" i="143"/>
  <c r="N99" i="143"/>
  <c r="N104" i="143"/>
  <c r="N109" i="143"/>
  <c r="N114" i="143"/>
  <c r="N138" i="143" l="1"/>
  <c r="O137" i="142" l="1"/>
  <c r="O136" i="142"/>
  <c r="G131" i="142"/>
  <c r="G130" i="142"/>
  <c r="G129" i="142"/>
  <c r="G127" i="142"/>
  <c r="D127" i="142"/>
  <c r="G125" i="142"/>
  <c r="G124" i="142"/>
  <c r="G123" i="142"/>
  <c r="K122" i="142"/>
  <c r="E122" i="142"/>
  <c r="G132" i="142" s="1"/>
  <c r="D122" i="142"/>
  <c r="G113" i="142"/>
  <c r="G112" i="142"/>
  <c r="G111" i="142"/>
  <c r="G110" i="142"/>
  <c r="K109" i="142"/>
  <c r="G108" i="142"/>
  <c r="G107" i="142"/>
  <c r="G106" i="142"/>
  <c r="G105" i="142"/>
  <c r="K104" i="142"/>
  <c r="G103" i="142"/>
  <c r="G102" i="142"/>
  <c r="G101" i="142"/>
  <c r="G100" i="142"/>
  <c r="K99" i="142"/>
  <c r="G98" i="142"/>
  <c r="G97" i="142"/>
  <c r="G96" i="142"/>
  <c r="G95" i="142"/>
  <c r="K94" i="142"/>
  <c r="G93" i="142"/>
  <c r="G92" i="142"/>
  <c r="G91" i="142"/>
  <c r="G90" i="142"/>
  <c r="K89" i="142"/>
  <c r="G88" i="142"/>
  <c r="G87" i="142"/>
  <c r="G86" i="142"/>
  <c r="G85" i="142"/>
  <c r="K84" i="142"/>
  <c r="G83" i="142"/>
  <c r="G82" i="142"/>
  <c r="G81" i="142"/>
  <c r="G80" i="142"/>
  <c r="K79" i="142"/>
  <c r="G78" i="142"/>
  <c r="G77" i="142"/>
  <c r="G76" i="142"/>
  <c r="G75" i="142"/>
  <c r="K74" i="142"/>
  <c r="G73" i="142"/>
  <c r="G72" i="142"/>
  <c r="G71" i="142"/>
  <c r="G70" i="142"/>
  <c r="K69" i="142"/>
  <c r="G68" i="142"/>
  <c r="G67" i="142"/>
  <c r="G66" i="142"/>
  <c r="G65" i="142"/>
  <c r="K64" i="142"/>
  <c r="G63" i="142"/>
  <c r="G62" i="142"/>
  <c r="G61" i="142"/>
  <c r="G60" i="142"/>
  <c r="K59" i="142"/>
  <c r="G58" i="142"/>
  <c r="G57" i="142"/>
  <c r="G56" i="142"/>
  <c r="G55" i="142"/>
  <c r="K54" i="142"/>
  <c r="G53" i="142"/>
  <c r="G52" i="142"/>
  <c r="G51" i="142"/>
  <c r="G50" i="142"/>
  <c r="K49" i="142"/>
  <c r="G48" i="142"/>
  <c r="G47" i="142"/>
  <c r="G46" i="142"/>
  <c r="G45" i="142"/>
  <c r="K44" i="142"/>
  <c r="G43" i="142"/>
  <c r="G42" i="142"/>
  <c r="G41" i="142"/>
  <c r="G40" i="142"/>
  <c r="G38" i="142"/>
  <c r="G37" i="142"/>
  <c r="G36" i="142"/>
  <c r="G35" i="142"/>
  <c r="K34" i="142"/>
  <c r="G33" i="142"/>
  <c r="G32" i="142"/>
  <c r="G31" i="142"/>
  <c r="G30" i="142"/>
  <c r="K29" i="142"/>
  <c r="G28" i="142"/>
  <c r="G27" i="142"/>
  <c r="G26" i="142"/>
  <c r="G25" i="142"/>
  <c r="K24" i="142"/>
  <c r="G23" i="142"/>
  <c r="G22" i="142"/>
  <c r="G21" i="142"/>
  <c r="G20" i="142"/>
  <c r="K19" i="142"/>
  <c r="C19" i="142"/>
  <c r="L19" i="142" s="1"/>
  <c r="C18" i="142"/>
  <c r="M19" i="142" l="1"/>
  <c r="C24" i="142"/>
  <c r="G126" i="142"/>
  <c r="G128" i="142"/>
  <c r="L24" i="142" l="1"/>
  <c r="C29" i="142"/>
  <c r="M24" i="142" l="1"/>
  <c r="C34" i="142"/>
  <c r="L29" i="142"/>
  <c r="M29" i="142" s="1"/>
  <c r="C122" i="142" l="1"/>
  <c r="C39" i="142"/>
  <c r="L34" i="142"/>
  <c r="M34" i="142" s="1"/>
  <c r="C127" i="142" l="1"/>
  <c r="L122" i="142" s="1"/>
  <c r="M122" i="142" s="1"/>
  <c r="C44" i="142"/>
  <c r="L44" i="142" l="1"/>
  <c r="M44" i="142" s="1"/>
  <c r="C49" i="142"/>
  <c r="C54" i="142" l="1"/>
  <c r="L49" i="142"/>
  <c r="M49" i="142" s="1"/>
  <c r="C59" i="142" l="1"/>
  <c r="L54" i="142"/>
  <c r="M54" i="142" s="1"/>
  <c r="L59" i="142" l="1"/>
  <c r="M59" i="142" s="1"/>
  <c r="C64" i="142"/>
  <c r="L64" i="142" l="1"/>
  <c r="M64" i="142" s="1"/>
  <c r="C69" i="142"/>
  <c r="C74" i="142" l="1"/>
  <c r="L69" i="142"/>
  <c r="M69" i="142" s="1"/>
  <c r="C79" i="142" l="1"/>
  <c r="L74" i="142"/>
  <c r="M74" i="142" s="1"/>
  <c r="L79" i="142" l="1"/>
  <c r="M79" i="142" s="1"/>
  <c r="C84" i="142"/>
  <c r="L84" i="142" l="1"/>
  <c r="M84" i="142" s="1"/>
  <c r="C89" i="142"/>
  <c r="C94" i="142" l="1"/>
  <c r="L89" i="142"/>
  <c r="M89" i="142" s="1"/>
  <c r="C99" i="142" l="1"/>
  <c r="L94" i="142"/>
  <c r="M94" i="142" s="1"/>
  <c r="L99" i="142" l="1"/>
  <c r="M99" i="142" s="1"/>
  <c r="C104" i="142"/>
  <c r="L104" i="142" l="1"/>
  <c r="M104" i="142" s="1"/>
  <c r="C109" i="142"/>
  <c r="L109" i="142" s="1"/>
  <c r="M109" i="142" l="1"/>
  <c r="L133" i="142"/>
  <c r="M133" i="142" l="1"/>
  <c r="K133" i="142" l="1"/>
  <c r="N19" i="142"/>
  <c r="N29" i="142"/>
  <c r="N24" i="142"/>
  <c r="N34" i="142"/>
  <c r="N122" i="142"/>
  <c r="N44" i="142"/>
  <c r="N49" i="142"/>
  <c r="N54" i="142"/>
  <c r="N59" i="142"/>
  <c r="N64" i="142"/>
  <c r="N69" i="142"/>
  <c r="N74" i="142"/>
  <c r="N79" i="142"/>
  <c r="N84" i="142"/>
  <c r="N89" i="142"/>
  <c r="N94" i="142"/>
  <c r="N99" i="142"/>
  <c r="N104" i="142"/>
  <c r="N109" i="142"/>
  <c r="N133" i="142" l="1"/>
</calcChain>
</file>

<file path=xl/sharedStrings.xml><?xml version="1.0" encoding="utf-8"?>
<sst xmlns="http://schemas.openxmlformats.org/spreadsheetml/2006/main" count="818" uniqueCount="121">
  <si>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</si>
  <si>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</si>
  <si>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</si>
  <si>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</si>
  <si>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</si>
  <si>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</si>
  <si>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</si>
  <si>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</si>
  <si>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</si>
  <si>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</si>
  <si>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</si>
  <si>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</si>
  <si>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</si>
  <si>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</si>
  <si>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</si>
  <si>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</si>
  <si>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</si>
  <si>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</si>
  <si>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</si>
  <si>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</si>
  <si>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</si>
  <si>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</si>
  <si>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</si>
  <si>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</si>
  <si>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</si>
  <si>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</si>
  <si>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</si>
  <si>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</si>
  <si>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</si>
  <si>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</si>
  <si>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</si>
  <si>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</si>
  <si>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</si>
  <si>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</si>
  <si>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</si>
  <si>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</si>
  <si>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</si>
  <si>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</si>
  <si>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</si>
  <si>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</si>
  <si>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</si>
  <si>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</si>
  <si>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</si>
  <si>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</si>
  <si>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</si>
  <si>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</si>
  <si>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</si>
  <si>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</si>
  <si>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</si>
  <si>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</si>
  <si>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</si>
  <si>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</si>
  <si>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</si>
  <si>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</si>
  <si>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</si>
  <si>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</si>
  <si>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</si>
  <si>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</si>
  <si>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</si>
  <si>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</si>
  <si>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</si>
  <si>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</si>
  <si>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</si>
  <si>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</si>
  <si>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</si>
  <si>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</si>
  <si>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</si>
  <si>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</si>
  <si>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</si>
  <si>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</si>
  <si>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</si>
  <si>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</si>
  <si>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</si>
  <si>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</si>
  <si>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</si>
  <si>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</si>
  <si>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</si>
  <si>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</si>
  <si>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</si>
  <si>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</si>
  <si>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</si>
  <si>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</si>
  <si>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</si>
  <si>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</si>
  <si>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</si>
  <si>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</si>
  <si>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</si>
  <si>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</si>
  <si>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</si>
  <si>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</si>
  <si>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</si>
  <si>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</si>
  <si>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</si>
  <si>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</si>
  <si>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</si>
  <si>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</si>
  <si>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</si>
  <si>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</si>
  <si>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</si>
  <si>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</si>
  <si>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</si>
  <si>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</si>
  <si>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</si>
  <si>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Se tomaron muestras de sedimentos en las dovelas #  _____ , _____ , ______ , ______ , _______ </t>
  </si>
  <si>
    <t>C</t>
  </si>
  <si>
    <t>Soleado</t>
  </si>
  <si>
    <t>RIO SUPIA - PUEBLO</t>
  </si>
  <si>
    <t>N 5° 27' 7.55"</t>
  </si>
  <si>
    <t>W 75°39' 14.07"</t>
  </si>
  <si>
    <t>Cálido</t>
  </si>
  <si>
    <t>Medida de la temperatura</t>
  </si>
  <si>
    <t>Detalle del aforo</t>
  </si>
  <si>
    <t>CARLOS COCUY</t>
  </si>
  <si>
    <t>Lluvioso</t>
  </si>
  <si>
    <t>Río crecido. Durante la campaña se realizaron las siguientes actividades: Levantamiento de la sección de aforo; levantamiento con GPS centimétrico del sensor y de puntos de referencia. La altura iniacial y final se toma desde el hilo hasta el nivel del agua.</t>
  </si>
  <si>
    <t>RIO SUPIA -PUEBLO</t>
  </si>
  <si>
    <t>N 5°27'8"</t>
  </si>
  <si>
    <t>W 75°39'10"</t>
  </si>
  <si>
    <t>T OMA DE LA TEMPERATURA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</si>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</sst>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rgb="FFD8D8D8"/>
      </patternFill>
    </fill>
  </fills>
  <borders count="13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2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1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Font="1" applyBorder="1"/>
    <xf numFmtId="0" fontId="2" fillId="0" borderId="36" xfId="0" applyFont="1" applyBorder="1"/>
    <xf numFmtId="0" fontId="2" fillId="0" borderId="0" xfId="0" applyFont="1"/>
    <xf numFmtId="0" fontId="2" fillId="0" borderId="0" xfId="0" applyFont="1" applyAlignment="1"/>
    <xf numFmtId="0" fontId="17" fillId="6" borderId="75" xfId="0" applyFont="1" applyFill="1" applyBorder="1" applyAlignment="1">
      <alignment horizontal="center" vertical="center"/>
    </xf>
    <xf numFmtId="0" fontId="17" fillId="6" borderId="92" xfId="0" applyFont="1" applyFill="1" applyBorder="1" applyAlignment="1">
      <alignment vertical="center"/>
    </xf>
    <xf numFmtId="0" fontId="17" fillId="6" borderId="92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2" fillId="0" borderId="86" xfId="0" applyFont="1" applyBorder="1"/>
    <xf numFmtId="0" fontId="17" fillId="6" borderId="86" xfId="0" applyFont="1" applyFill="1" applyBorder="1" applyAlignment="1">
      <alignment vertical="center"/>
    </xf>
    <xf numFmtId="0" fontId="17" fillId="6" borderId="95" xfId="0" applyFont="1" applyFill="1" applyBorder="1" applyAlignment="1">
      <alignment horizontal="center" vertical="center"/>
    </xf>
    <xf numFmtId="0" fontId="17" fillId="6" borderId="82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4" xfId="0" applyFont="1" applyFill="1" applyBorder="1" applyAlignment="1">
      <alignment horizontal="center" vertical="center" wrapText="1"/>
    </xf>
    <xf numFmtId="0" fontId="2" fillId="0" borderId="90" xfId="0" applyFont="1" applyFill="1" applyBorder="1" applyAlignment="1">
      <alignment horizontal="center" vertical="center" wrapText="1"/>
    </xf>
    <xf numFmtId="0" fontId="17" fillId="0" borderId="90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/>
    </xf>
    <xf numFmtId="2" fontId="14" fillId="0" borderId="90" xfId="0" applyNumberFormat="1" applyFont="1" applyFill="1" applyBorder="1" applyAlignment="1">
      <alignment vertical="center"/>
    </xf>
    <xf numFmtId="164" fontId="14" fillId="0" borderId="90" xfId="0" applyNumberFormat="1" applyFont="1" applyFill="1" applyBorder="1" applyAlignment="1">
      <alignment vertical="center"/>
    </xf>
    <xf numFmtId="0" fontId="17" fillId="0" borderId="96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vertical="center"/>
    </xf>
    <xf numFmtId="0" fontId="2" fillId="0" borderId="92" xfId="0" applyFont="1" applyFill="1" applyBorder="1"/>
    <xf numFmtId="164" fontId="14" fillId="0" borderId="92" xfId="0" applyNumberFormat="1" applyFont="1" applyFill="1" applyBorder="1" applyAlignment="1">
      <alignment horizontal="center" vertical="center"/>
    </xf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horizontal="center" vertical="center"/>
    </xf>
    <xf numFmtId="2" fontId="14" fillId="0" borderId="97" xfId="0" applyNumberFormat="1" applyFont="1" applyFill="1" applyBorder="1" applyAlignment="1">
      <alignment vertical="center"/>
    </xf>
    <xf numFmtId="0" fontId="2" fillId="0" borderId="97" xfId="0" applyFont="1" applyFill="1" applyBorder="1"/>
    <xf numFmtId="164" fontId="14" fillId="0" borderId="97" xfId="0" applyNumberFormat="1" applyFont="1" applyFill="1" applyBorder="1" applyAlignment="1">
      <alignment horizontal="center" vertical="center"/>
    </xf>
    <xf numFmtId="0" fontId="12" fillId="0" borderId="100" xfId="0" applyFont="1" applyFill="1" applyBorder="1" applyAlignment="1">
      <alignment horizontal="center"/>
    </xf>
    <xf numFmtId="2" fontId="14" fillId="0" borderId="100" xfId="0" applyNumberFormat="1" applyFont="1" applyFill="1" applyBorder="1" applyAlignment="1">
      <alignment horizontal="center" vertical="center"/>
    </xf>
    <xf numFmtId="2" fontId="14" fillId="0" borderId="100" xfId="0" applyNumberFormat="1" applyFont="1" applyFill="1" applyBorder="1" applyAlignment="1">
      <alignment vertical="center"/>
    </xf>
    <xf numFmtId="0" fontId="2" fillId="0" borderId="100" xfId="0" applyFont="1" applyFill="1" applyBorder="1"/>
    <xf numFmtId="164" fontId="14" fillId="0" borderId="100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6" xfId="0" applyFont="1" applyFill="1" applyBorder="1" applyAlignment="1">
      <alignment vertical="center" wrapText="1"/>
    </xf>
    <xf numFmtId="0" fontId="4" fillId="8" borderId="103" xfId="0" applyFont="1" applyFill="1" applyBorder="1" applyAlignment="1">
      <alignment vertical="center" wrapText="1"/>
    </xf>
    <xf numFmtId="0" fontId="21" fillId="0" borderId="36" xfId="0" applyFont="1" applyBorder="1"/>
    <xf numFmtId="2" fontId="14" fillId="10" borderId="107" xfId="0" applyNumberFormat="1" applyFont="1" applyFill="1" applyBorder="1" applyAlignment="1">
      <alignment horizontal="center" vertical="center"/>
    </xf>
    <xf numFmtId="2" fontId="14" fillId="10" borderId="107" xfId="0" applyNumberFormat="1" applyFont="1" applyFill="1" applyBorder="1" applyAlignment="1">
      <alignment horizontal="center"/>
    </xf>
    <xf numFmtId="164" fontId="2" fillId="10" borderId="107" xfId="0" applyNumberFormat="1" applyFont="1" applyFill="1" applyBorder="1" applyAlignment="1">
      <alignment horizontal="center"/>
    </xf>
    <xf numFmtId="164" fontId="2" fillId="9" borderId="107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97" xfId="0" applyFont="1" applyFill="1" applyBorder="1" applyAlignment="1">
      <alignment horizontal="center"/>
    </xf>
    <xf numFmtId="2" fontId="14" fillId="10" borderId="97" xfId="0" applyNumberFormat="1" applyFont="1" applyFill="1" applyBorder="1" applyAlignment="1">
      <alignment horizontal="center" vertical="center"/>
    </xf>
    <xf numFmtId="2" fontId="14" fillId="10" borderId="97" xfId="0" applyNumberFormat="1" applyFont="1" applyFill="1" applyBorder="1" applyAlignment="1">
      <alignment horizontal="center"/>
    </xf>
    <xf numFmtId="164" fontId="2" fillId="10" borderId="97" xfId="0" applyNumberFormat="1" applyFont="1" applyFill="1" applyBorder="1" applyAlignment="1">
      <alignment horizontal="center"/>
    </xf>
    <xf numFmtId="164" fontId="2" fillId="9" borderId="97" xfId="0" applyNumberFormat="1" applyFont="1" applyFill="1" applyBorder="1" applyAlignment="1">
      <alignment horizontal="center"/>
    </xf>
    <xf numFmtId="2" fontId="14" fillId="10" borderId="114" xfId="0" applyNumberFormat="1" applyFont="1" applyFill="1" applyBorder="1" applyAlignment="1">
      <alignment horizontal="center" vertical="center"/>
    </xf>
    <xf numFmtId="2" fontId="14" fillId="10" borderId="114" xfId="0" applyNumberFormat="1" applyFont="1" applyFill="1" applyBorder="1" applyAlignment="1">
      <alignment horizontal="center"/>
    </xf>
    <xf numFmtId="164" fontId="2" fillId="10" borderId="114" xfId="0" applyNumberFormat="1" applyFont="1" applyFill="1" applyBorder="1" applyAlignment="1">
      <alignment horizontal="center"/>
    </xf>
    <xf numFmtId="164" fontId="2" fillId="11" borderId="114" xfId="0" applyNumberFormat="1" applyFont="1" applyFill="1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2" fillId="5" borderId="46" xfId="0" applyFont="1" applyFill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" fillId="0" borderId="36" xfId="0" applyFont="1" applyFill="1" applyBorder="1" applyAlignment="1">
      <alignment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vertical="center"/>
    </xf>
    <xf numFmtId="0" fontId="22" fillId="0" borderId="46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3" fillId="0" borderId="53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0" fontId="22" fillId="0" borderId="62" xfId="0" applyFont="1" applyFill="1" applyBorder="1" applyAlignment="1">
      <alignment horizontal="center" vertical="center"/>
    </xf>
    <xf numFmtId="0" fontId="23" fillId="0" borderId="69" xfId="0" applyFont="1" applyFill="1" applyBorder="1" applyAlignment="1">
      <alignment vertical="top" wrapText="1"/>
    </xf>
    <xf numFmtId="0" fontId="23" fillId="0" borderId="53" xfId="0" applyFont="1" applyFill="1" applyBorder="1" applyAlignment="1">
      <alignment horizontal="center" vertical="top" wrapText="1"/>
    </xf>
    <xf numFmtId="0" fontId="23" fillId="0" borderId="72" xfId="0" applyFont="1" applyFill="1" applyBorder="1" applyAlignment="1">
      <alignment horizontal="center"/>
    </xf>
    <xf numFmtId="0" fontId="22" fillId="0" borderId="62" xfId="0" applyFont="1" applyFill="1" applyBorder="1" applyAlignment="1">
      <alignment horizontal="center" vertical="top" wrapText="1"/>
    </xf>
    <xf numFmtId="0" fontId="22" fillId="0" borderId="79" xfId="0" applyFont="1" applyFill="1" applyBorder="1" applyAlignment="1">
      <alignment horizontal="center" vertical="center" wrapText="1"/>
    </xf>
    <xf numFmtId="20" fontId="22" fillId="0" borderId="82" xfId="0" applyNumberFormat="1" applyFont="1" applyFill="1" applyBorder="1" applyAlignment="1">
      <alignment horizontal="center" vertical="top"/>
    </xf>
    <xf numFmtId="0" fontId="22" fillId="0" borderId="83" xfId="0" applyFont="1" applyFill="1" applyBorder="1" applyAlignment="1">
      <alignment horizontal="center" vertical="top"/>
    </xf>
    <xf numFmtId="0" fontId="22" fillId="0" borderId="72" xfId="0" applyFont="1" applyFill="1" applyBorder="1" applyAlignment="1">
      <alignment horizontal="center" vertical="center"/>
    </xf>
    <xf numFmtId="0" fontId="22" fillId="0" borderId="86" xfId="0" applyFont="1" applyFill="1" applyBorder="1" applyAlignment="1">
      <alignment horizontal="center" vertical="center"/>
    </xf>
    <xf numFmtId="164" fontId="17" fillId="5" borderId="11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1" xfId="0" applyBorder="1" applyAlignment="1"/>
    <xf numFmtId="164" fontId="14" fillId="0" borderId="90" xfId="0" applyNumberFormat="1" applyFont="1" applyFill="1" applyBorder="1" applyAlignment="1">
      <alignment horizontal="center" vertical="center"/>
    </xf>
    <xf numFmtId="2" fontId="14" fillId="0" borderId="90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2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2" borderId="15" xfId="0" applyNumberFormat="1" applyFont="1" applyFill="1" applyBorder="1" applyAlignment="1">
      <alignment horizontal="center"/>
    </xf>
    <xf numFmtId="164" fontId="14" fillId="12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164" fontId="14" fillId="12" borderId="16" xfId="0" applyNumberFormat="1" applyFont="1" applyFill="1" applyBorder="1" applyAlignment="1">
      <alignment horizontal="center"/>
    </xf>
    <xf numFmtId="164" fontId="14" fillId="12" borderId="14" xfId="0" applyNumberFormat="1" applyFont="1" applyFill="1" applyBorder="1" applyAlignment="1">
      <alignment horizontal="center"/>
    </xf>
    <xf numFmtId="0" fontId="0" fillId="0" borderId="117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18" xfId="0" applyFont="1" applyBorder="1" applyAlignment="1">
      <alignment horizontal="center" vertical="center" wrapText="1"/>
    </xf>
    <xf numFmtId="0" fontId="0" fillId="0" borderId="119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2" xfId="0" applyFont="1" applyBorder="1" applyAlignment="1">
      <alignment horizontal="left" wrapText="1"/>
    </xf>
    <xf numFmtId="0" fontId="0" fillId="0" borderId="35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17" fillId="13" borderId="0" xfId="0" applyFont="1" applyFill="1" applyBorder="1" applyAlignment="1">
      <alignment horizontal="center" vertical="top" wrapText="1"/>
    </xf>
    <xf numFmtId="0" fontId="17" fillId="13" borderId="41" xfId="0" applyFont="1" applyFill="1" applyBorder="1" applyAlignment="1">
      <alignment horizontal="center" vertical="top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6" xfId="0" applyFont="1" applyFill="1" applyBorder="1" applyAlignment="1">
      <alignment horizontal="center" vertical="center"/>
    </xf>
    <xf numFmtId="0" fontId="14" fillId="3" borderId="93" xfId="0" applyFont="1" applyFill="1" applyBorder="1"/>
    <xf numFmtId="0" fontId="14" fillId="3" borderId="113" xfId="0" applyFont="1" applyFill="1" applyBorder="1"/>
    <xf numFmtId="166" fontId="14" fillId="10" borderId="106" xfId="0" applyNumberFormat="1" applyFont="1" applyFill="1" applyBorder="1" applyAlignment="1">
      <alignment horizontal="center" vertical="center"/>
    </xf>
    <xf numFmtId="0" fontId="14" fillId="10" borderId="108" xfId="0" applyFont="1" applyFill="1" applyBorder="1" applyAlignment="1">
      <alignment horizontal="center" vertical="center"/>
    </xf>
    <xf numFmtId="0" fontId="14" fillId="3" borderId="110" xfId="0" applyFont="1" applyFill="1" applyBorder="1"/>
    <xf numFmtId="0" fontId="14" fillId="3" borderId="115" xfId="0" applyFont="1" applyFill="1" applyBorder="1"/>
    <xf numFmtId="2" fontId="14" fillId="9" borderId="95" xfId="0" applyNumberFormat="1" applyFont="1" applyFill="1" applyBorder="1" applyAlignment="1">
      <alignment horizontal="center" vertical="center"/>
    </xf>
    <xf numFmtId="164" fontId="14" fillId="9" borderId="95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4" fillId="9" borderId="105" xfId="0" applyFont="1" applyFill="1" applyBorder="1" applyAlignment="1">
      <alignment horizontal="center" vertical="center"/>
    </xf>
    <xf numFmtId="0" fontId="14" fillId="3" borderId="109" xfId="0" applyFont="1" applyFill="1" applyBorder="1"/>
    <xf numFmtId="0" fontId="14" fillId="3" borderId="112" xfId="0" applyFont="1" applyFill="1" applyBorder="1"/>
    <xf numFmtId="2" fontId="14" fillId="9" borderId="106" xfId="0" applyNumberFormat="1" applyFont="1" applyFill="1" applyBorder="1" applyAlignment="1">
      <alignment horizontal="center" vertical="center"/>
    </xf>
    <xf numFmtId="0" fontId="14" fillId="3" borderId="111" xfId="0" applyFont="1" applyFill="1" applyBorder="1"/>
    <xf numFmtId="164" fontId="14" fillId="9" borderId="106" xfId="0" applyNumberFormat="1" applyFont="1" applyFill="1" applyBorder="1" applyAlignment="1">
      <alignment horizontal="center" vertical="center"/>
    </xf>
    <xf numFmtId="164" fontId="14" fillId="10" borderId="106" xfId="0" applyNumberFormat="1" applyFont="1" applyFill="1" applyBorder="1" applyAlignment="1">
      <alignment horizontal="center" vertical="center"/>
    </xf>
    <xf numFmtId="164" fontId="14" fillId="0" borderId="90" xfId="0" applyNumberFormat="1" applyFont="1" applyFill="1" applyBorder="1" applyAlignment="1">
      <alignment horizontal="center" vertical="center"/>
    </xf>
    <xf numFmtId="0" fontId="14" fillId="0" borderId="93" xfId="0" applyFont="1" applyFill="1" applyBorder="1"/>
    <xf numFmtId="0" fontId="14" fillId="0" borderId="99" xfId="0" applyFont="1" applyFill="1" applyBorder="1"/>
    <xf numFmtId="165" fontId="14" fillId="0" borderId="90" xfId="0" applyNumberFormat="1" applyFont="1" applyFill="1" applyBorder="1" applyAlignment="1">
      <alignment horizontal="center" vertical="center"/>
    </xf>
    <xf numFmtId="0" fontId="14" fillId="0" borderId="90" xfId="0" applyFont="1" applyFill="1" applyBorder="1" applyAlignment="1">
      <alignment horizontal="center" vertical="center"/>
    </xf>
    <xf numFmtId="0" fontId="14" fillId="0" borderId="96" xfId="0" applyFont="1" applyFill="1" applyBorder="1" applyAlignment="1">
      <alignment horizontal="center" vertical="center"/>
    </xf>
    <xf numFmtId="0" fontId="14" fillId="0" borderId="98" xfId="0" applyFont="1" applyFill="1" applyBorder="1"/>
    <xf numFmtId="0" fontId="14" fillId="0" borderId="101" xfId="0" applyFont="1" applyFill="1" applyBorder="1"/>
    <xf numFmtId="0" fontId="4" fillId="8" borderId="102" xfId="0" applyFont="1" applyFill="1" applyBorder="1" applyAlignment="1">
      <alignment horizontal="center" vertical="center" textRotation="90"/>
    </xf>
    <xf numFmtId="0" fontId="4" fillId="8" borderId="103" xfId="0" applyFont="1" applyFill="1" applyBorder="1" applyAlignment="1">
      <alignment horizontal="center" vertical="center" textRotation="90"/>
    </xf>
    <xf numFmtId="0" fontId="4" fillId="8" borderId="104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4" xfId="0" applyFont="1" applyFill="1" applyBorder="1" applyAlignment="1">
      <alignment horizontal="center" vertical="center"/>
    </xf>
    <xf numFmtId="0" fontId="14" fillId="0" borderId="71" xfId="0" applyFont="1" applyFill="1" applyBorder="1"/>
    <xf numFmtId="0" fontId="14" fillId="0" borderId="78" xfId="0" applyFont="1" applyFill="1" applyBorder="1"/>
    <xf numFmtId="2" fontId="14" fillId="0" borderId="90" xfId="0" applyNumberFormat="1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/>
    </xf>
    <xf numFmtId="0" fontId="14" fillId="7" borderId="41" xfId="0" applyFont="1" applyFill="1" applyBorder="1" applyAlignment="1">
      <alignment horizontal="center"/>
    </xf>
    <xf numFmtId="0" fontId="14" fillId="0" borderId="41" xfId="0" applyFont="1" applyBorder="1"/>
    <xf numFmtId="0" fontId="14" fillId="0" borderId="42" xfId="0" applyFont="1" applyBorder="1"/>
    <xf numFmtId="0" fontId="17" fillId="6" borderId="74" xfId="0" applyFont="1" applyFill="1" applyBorder="1" applyAlignment="1">
      <alignment horizontal="center" vertical="center" wrapText="1"/>
    </xf>
    <xf numFmtId="0" fontId="14" fillId="0" borderId="71" xfId="0" applyFont="1" applyBorder="1"/>
    <xf numFmtId="0" fontId="17" fillId="6" borderId="90" xfId="0" applyFont="1" applyFill="1" applyBorder="1" applyAlignment="1">
      <alignment horizontal="center" vertical="center" wrapText="1"/>
    </xf>
    <xf numFmtId="0" fontId="14" fillId="0" borderId="93" xfId="0" applyFont="1" applyBorder="1"/>
    <xf numFmtId="0" fontId="17" fillId="6" borderId="90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/>
    </xf>
    <xf numFmtId="0" fontId="14" fillId="0" borderId="38" xfId="0" applyFont="1" applyBorder="1"/>
    <xf numFmtId="0" fontId="14" fillId="0" borderId="76" xfId="0" applyFont="1" applyBorder="1"/>
    <xf numFmtId="0" fontId="14" fillId="0" borderId="0" xfId="0" applyFont="1" applyBorder="1"/>
    <xf numFmtId="0" fontId="17" fillId="6" borderId="91" xfId="0" applyFont="1" applyFill="1" applyBorder="1" applyAlignment="1">
      <alignment horizontal="center" vertical="center" wrapText="1"/>
    </xf>
    <xf numFmtId="0" fontId="14" fillId="0" borderId="94" xfId="0" applyFont="1" applyBorder="1"/>
    <xf numFmtId="0" fontId="17" fillId="6" borderId="37" xfId="0" applyFont="1" applyFill="1" applyBorder="1" applyAlignment="1">
      <alignment horizontal="center" vertical="center" textRotation="90" wrapText="1"/>
    </xf>
    <xf numFmtId="0" fontId="14" fillId="0" borderId="88" xfId="0" applyFont="1" applyBorder="1"/>
    <xf numFmtId="0" fontId="14" fillId="0" borderId="40" xfId="0" applyFont="1" applyBorder="1"/>
    <xf numFmtId="0" fontId="14" fillId="0" borderId="37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/>
    </xf>
    <xf numFmtId="0" fontId="14" fillId="7" borderId="88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89" xfId="0" applyFont="1" applyBorder="1"/>
    <xf numFmtId="0" fontId="14" fillId="7" borderId="40" xfId="0" applyFont="1" applyFill="1" applyBorder="1" applyAlignment="1">
      <alignment horizontal="center" vertical="center" wrapText="1"/>
    </xf>
    <xf numFmtId="0" fontId="2" fillId="0" borderId="81" xfId="0" applyFont="1" applyFill="1" applyBorder="1" applyAlignment="1">
      <alignment horizontal="center" vertical="center" wrapText="1"/>
    </xf>
    <xf numFmtId="0" fontId="14" fillId="0" borderId="84" xfId="0" applyFont="1" applyFill="1" applyBorder="1"/>
    <xf numFmtId="0" fontId="2" fillId="0" borderId="60" xfId="0" applyFont="1" applyFill="1" applyBorder="1" applyAlignment="1">
      <alignment horizontal="center" vertical="center"/>
    </xf>
    <xf numFmtId="0" fontId="14" fillId="0" borderId="61" xfId="0" applyFont="1" applyFill="1" applyBorder="1"/>
    <xf numFmtId="0" fontId="2" fillId="0" borderId="60" xfId="0" applyFont="1" applyFill="1" applyBorder="1" applyAlignment="1">
      <alignment horizontal="center"/>
    </xf>
    <xf numFmtId="0" fontId="2" fillId="0" borderId="60" xfId="0" applyFont="1" applyFill="1" applyBorder="1" applyAlignment="1">
      <alignment horizontal="center" vertical="top"/>
    </xf>
    <xf numFmtId="0" fontId="22" fillId="0" borderId="60" xfId="0" applyFont="1" applyFill="1" applyBorder="1" applyAlignment="1">
      <alignment horizontal="center" vertical="center" wrapText="1"/>
    </xf>
    <xf numFmtId="0" fontId="15" fillId="0" borderId="87" xfId="0" applyFont="1" applyFill="1" applyBorder="1"/>
    <xf numFmtId="0" fontId="2" fillId="0" borderId="79" xfId="0" applyFont="1" applyFill="1" applyBorder="1" applyAlignment="1">
      <alignment horizontal="center" vertical="center"/>
    </xf>
    <xf numFmtId="0" fontId="2" fillId="0" borderId="81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2" fillId="0" borderId="81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 vertical="top"/>
    </xf>
    <xf numFmtId="0" fontId="14" fillId="0" borderId="52" xfId="0" applyFont="1" applyFill="1" applyBorder="1"/>
    <xf numFmtId="0" fontId="22" fillId="0" borderId="63" xfId="0" applyFont="1" applyFill="1" applyBorder="1" applyAlignment="1">
      <alignment horizontal="center"/>
    </xf>
    <xf numFmtId="0" fontId="15" fillId="0" borderId="63" xfId="0" applyFont="1" applyFill="1" applyBorder="1"/>
    <xf numFmtId="0" fontId="23" fillId="0" borderId="64" xfId="0" applyFont="1" applyFill="1" applyBorder="1" applyAlignment="1">
      <alignment horizontal="center"/>
    </xf>
    <xf numFmtId="0" fontId="15" fillId="0" borderId="65" xfId="0" applyFont="1" applyFill="1" applyBorder="1"/>
    <xf numFmtId="0" fontId="15" fillId="0" borderId="66" xfId="0" applyFont="1" applyFill="1" applyBorder="1"/>
    <xf numFmtId="0" fontId="23" fillId="0" borderId="67" xfId="0" applyFont="1" applyFill="1" applyBorder="1" applyAlignment="1">
      <alignment horizontal="center"/>
    </xf>
    <xf numFmtId="0" fontId="15" fillId="0" borderId="68" xfId="0" applyFont="1" applyFill="1" applyBorder="1"/>
    <xf numFmtId="0" fontId="17" fillId="6" borderId="70" xfId="0" applyFont="1" applyFill="1" applyBorder="1" applyAlignment="1">
      <alignment horizontal="center" vertical="center" wrapText="1"/>
    </xf>
    <xf numFmtId="0" fontId="14" fillId="0" borderId="77" xfId="0" applyFont="1" applyBorder="1"/>
    <xf numFmtId="0" fontId="14" fillId="0" borderId="85" xfId="0" applyFont="1" applyBorder="1"/>
    <xf numFmtId="0" fontId="24" fillId="0" borderId="71" xfId="0" applyFont="1" applyFill="1" applyBorder="1" applyAlignment="1">
      <alignment horizontal="center" vertical="center" wrapText="1"/>
    </xf>
    <xf numFmtId="0" fontId="2" fillId="0" borderId="72" xfId="0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horizontal="center" vertical="center" wrapText="1"/>
    </xf>
    <xf numFmtId="0" fontId="2" fillId="0" borderId="75" xfId="0" applyFont="1" applyFill="1" applyBorder="1" applyAlignment="1">
      <alignment horizontal="center" vertical="center"/>
    </xf>
    <xf numFmtId="0" fontId="22" fillId="0" borderId="76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38" xfId="0" applyFont="1" applyFill="1" applyBorder="1"/>
    <xf numFmtId="0" fontId="15" fillId="0" borderId="39" xfId="0" applyFont="1" applyFill="1" applyBorder="1"/>
    <xf numFmtId="0" fontId="15" fillId="0" borderId="80" xfId="0" applyFont="1" applyFill="1" applyBorder="1"/>
    <xf numFmtId="0" fontId="15" fillId="0" borderId="41" xfId="0" applyFont="1" applyFill="1" applyBorder="1"/>
    <xf numFmtId="0" fontId="15" fillId="0" borderId="42" xfId="0" applyFont="1" applyFill="1" applyBorder="1"/>
    <xf numFmtId="0" fontId="2" fillId="0" borderId="48" xfId="0" applyFont="1" applyFill="1" applyBorder="1" applyAlignment="1">
      <alignment horizontal="center" vertical="center"/>
    </xf>
    <xf numFmtId="0" fontId="14" fillId="0" borderId="49" xfId="0" applyFont="1" applyFill="1" applyBorder="1" applyAlignment="1">
      <alignment vertical="center"/>
    </xf>
    <xf numFmtId="0" fontId="22" fillId="0" borderId="50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vertical="center"/>
    </xf>
    <xf numFmtId="0" fontId="15" fillId="0" borderId="39" xfId="0" applyFont="1" applyFill="1" applyBorder="1" applyAlignment="1">
      <alignment vertical="center"/>
    </xf>
    <xf numFmtId="0" fontId="16" fillId="0" borderId="50" xfId="0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vertical="center"/>
    </xf>
    <xf numFmtId="0" fontId="17" fillId="6" borderId="37" xfId="0" applyFont="1" applyFill="1" applyBorder="1" applyAlignment="1">
      <alignment horizontal="center" vertical="center" wrapText="1"/>
    </xf>
    <xf numFmtId="0" fontId="2" fillId="0" borderId="51" xfId="0" applyFont="1" applyFill="1" applyBorder="1" applyAlignment="1">
      <alignment horizontal="center"/>
    </xf>
    <xf numFmtId="0" fontId="2" fillId="0" borderId="54" xfId="0" applyFont="1" applyFill="1" applyBorder="1" applyAlignment="1">
      <alignment horizontal="center" vertical="center"/>
    </xf>
    <xf numFmtId="0" fontId="14" fillId="0" borderId="54" xfId="0" applyFont="1" applyFill="1" applyBorder="1"/>
    <xf numFmtId="0" fontId="2" fillId="0" borderId="55" xfId="0" applyFont="1" applyFill="1" applyBorder="1" applyAlignment="1">
      <alignment horizontal="center" vertical="center" wrapText="1"/>
    </xf>
    <xf numFmtId="0" fontId="14" fillId="0" borderId="56" xfId="0" applyFont="1" applyFill="1" applyBorder="1"/>
    <xf numFmtId="0" fontId="14" fillId="0" borderId="57" xfId="0" applyFont="1" applyFill="1" applyBorder="1"/>
    <xf numFmtId="0" fontId="2" fillId="0" borderId="54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3" fillId="0" borderId="38" xfId="0" applyFont="1" applyBorder="1" applyAlignment="1">
      <alignment horizontal="center" wrapText="1"/>
    </xf>
    <xf numFmtId="14" fontId="22" fillId="0" borderId="44" xfId="0" applyNumberFormat="1" applyFont="1" applyFill="1" applyBorder="1" applyAlignment="1">
      <alignment horizontal="center" vertical="center"/>
    </xf>
    <xf numFmtId="0" fontId="15" fillId="0" borderId="45" xfId="0" applyFont="1" applyFill="1" applyBorder="1"/>
    <xf numFmtId="0" fontId="22" fillId="0" borderId="44" xfId="0" applyFont="1" applyBorder="1" applyAlignment="1">
      <alignment horizontal="center" vertical="center" wrapText="1"/>
    </xf>
    <xf numFmtId="0" fontId="15" fillId="0" borderId="45" xfId="0" applyFont="1" applyBorder="1"/>
    <xf numFmtId="0" fontId="15" fillId="0" borderId="47" xfId="0" applyFont="1" applyBorder="1"/>
    <xf numFmtId="0" fontId="1" fillId="0" borderId="120" xfId="0" applyFont="1" applyFill="1" applyBorder="1" applyAlignment="1">
      <alignment horizontal="center"/>
    </xf>
    <xf numFmtId="0" fontId="1" fillId="0" borderId="121" xfId="0" applyFont="1" applyFill="1" applyBorder="1" applyAlignment="1">
      <alignment horizontal="center"/>
    </xf>
    <xf numFmtId="0" fontId="1" fillId="0" borderId="122" xfId="0" applyFont="1" applyFill="1" applyBorder="1" applyAlignment="1">
      <alignment horizontal="center"/>
    </xf>
    <xf numFmtId="0" fontId="0" fillId="0" borderId="124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24" xfId="0" applyFont="1" applyBorder="1" applyAlignment="1">
      <alignment horizontal="center"/>
    </xf>
    <xf numFmtId="0" fontId="3" fillId="0" borderId="129" xfId="0" applyFont="1" applyBorder="1" applyAlignment="1">
      <alignment horizontal="center"/>
    </xf>
    <xf numFmtId="0" fontId="3" fillId="0" borderId="130" xfId="0" applyFont="1" applyBorder="1" applyAlignment="1">
      <alignment horizontal="center"/>
    </xf>
    <xf numFmtId="0" fontId="3" fillId="0" borderId="125" xfId="0" applyFont="1" applyBorder="1" applyAlignment="1">
      <alignment horizontal="center"/>
    </xf>
    <xf numFmtId="0" fontId="0" fillId="0" borderId="124" xfId="0" applyBorder="1" applyAlignment="1">
      <alignment horizontal="center"/>
    </xf>
    <xf numFmtId="0" fontId="1" fillId="4" borderId="124" xfId="0" applyFont="1" applyFill="1" applyBorder="1" applyAlignment="1">
      <alignment horizontal="center"/>
    </xf>
    <xf numFmtId="0" fontId="1" fillId="4" borderId="125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127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  <xf numFmtId="0" fontId="0" fillId="0" borderId="31" xfId="0" applyFont="1" applyBorder="1"/>
    <xf numFmtId="0" fontId="0" fillId="0" borderId="13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3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31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15.jpe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37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840941"/>
          <a:ext cx="53340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2222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135</xdr:row>
      <xdr:rowOff>63500</xdr:rowOff>
    </xdr:from>
    <xdr:to>
      <xdr:col>5</xdr:col>
      <xdr:colOff>408063</xdr:colOff>
      <xdr:row>141</xdr:row>
      <xdr:rowOff>246896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545715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135</xdr:row>
      <xdr:rowOff>63500</xdr:rowOff>
    </xdr:from>
    <xdr:to>
      <xdr:col>10</xdr:col>
      <xdr:colOff>445918</xdr:colOff>
      <xdr:row>141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5457150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76200</xdr:colOff>
      <xdr:row>144</xdr:row>
      <xdr:rowOff>87086</xdr:rowOff>
    </xdr:from>
    <xdr:to>
      <xdr:col>5</xdr:col>
      <xdr:colOff>627029</xdr:colOff>
      <xdr:row>144</xdr:row>
      <xdr:rowOff>1995086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004861"/>
          <a:ext cx="3332129" cy="190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128228</xdr:colOff>
      <xdr:row>144</xdr:row>
      <xdr:rowOff>52029</xdr:rowOff>
    </xdr:from>
    <xdr:to>
      <xdr:col>15</xdr:col>
      <xdr:colOff>602856</xdr:colOff>
      <xdr:row>144</xdr:row>
      <xdr:rowOff>1960029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303" y="27969804"/>
          <a:ext cx="3332128" cy="1908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114942</xdr:colOff>
      <xdr:row>144</xdr:row>
      <xdr:rowOff>60514</xdr:rowOff>
    </xdr:from>
    <xdr:to>
      <xdr:col>10</xdr:col>
      <xdr:colOff>589571</xdr:colOff>
      <xdr:row>144</xdr:row>
      <xdr:rowOff>1968514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0142" y="27978289"/>
          <a:ext cx="3332129" cy="1908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124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30801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140</xdr:row>
      <xdr:rowOff>63500</xdr:rowOff>
    </xdr:from>
    <xdr:to>
      <xdr:col>5</xdr:col>
      <xdr:colOff>408063</xdr:colOff>
      <xdr:row>146</xdr:row>
      <xdr:rowOff>246898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692" y="26314400"/>
          <a:ext cx="3041196" cy="18026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140</xdr:row>
      <xdr:rowOff>63500</xdr:rowOff>
    </xdr:from>
    <xdr:to>
      <xdr:col>10</xdr:col>
      <xdr:colOff>445918</xdr:colOff>
      <xdr:row>146</xdr:row>
      <xdr:rowOff>246898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01533" y="26314400"/>
          <a:ext cx="3007085" cy="18026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333374</xdr:colOff>
      <xdr:row>149</xdr:row>
      <xdr:rowOff>80281</xdr:rowOff>
    </xdr:from>
    <xdr:to>
      <xdr:col>9</xdr:col>
      <xdr:colOff>224688</xdr:colOff>
      <xdr:row>149</xdr:row>
      <xdr:rowOff>1933574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52949" y="28855306"/>
          <a:ext cx="1320064" cy="1853293"/>
        </a:xfrm>
        <a:prstGeom prst="rect">
          <a:avLst/>
        </a:prstGeom>
      </xdr:spPr>
    </xdr:pic>
    <xdr:clientData/>
  </xdr:twoCellAnchor>
  <xdr:twoCellAnchor editAs="oneCell">
    <xdr:from>
      <xdr:col>12</xdr:col>
      <xdr:colOff>389485</xdr:colOff>
      <xdr:row>149</xdr:row>
      <xdr:rowOff>139114</xdr:rowOff>
    </xdr:from>
    <xdr:to>
      <xdr:col>14</xdr:col>
      <xdr:colOff>280799</xdr:colOff>
      <xdr:row>149</xdr:row>
      <xdr:rowOff>1939114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80935" y="28914139"/>
          <a:ext cx="1320064" cy="1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149</xdr:row>
      <xdr:rowOff>112052</xdr:rowOff>
    </xdr:from>
    <xdr:to>
      <xdr:col>5</xdr:col>
      <xdr:colOff>533400</xdr:colOff>
      <xdr:row>149</xdr:row>
      <xdr:rowOff>1874292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28887077"/>
          <a:ext cx="2886075" cy="176224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121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121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121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121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121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1365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130</xdr:row>
      <xdr:rowOff>63500</xdr:rowOff>
    </xdr:from>
    <xdr:to>
      <xdr:col>5</xdr:col>
      <xdr:colOff>408063</xdr:colOff>
      <xdr:row>136</xdr:row>
      <xdr:rowOff>246898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692" y="24599900"/>
          <a:ext cx="3041196" cy="18026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130</xdr:row>
      <xdr:rowOff>63500</xdr:rowOff>
    </xdr:from>
    <xdr:to>
      <xdr:col>10</xdr:col>
      <xdr:colOff>445918</xdr:colOff>
      <xdr:row>136</xdr:row>
      <xdr:rowOff>246898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01533" y="24599900"/>
          <a:ext cx="3007085" cy="18026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555712</xdr:colOff>
      <xdr:row>139</xdr:row>
      <xdr:rowOff>142874</xdr:rowOff>
    </xdr:from>
    <xdr:to>
      <xdr:col>10</xdr:col>
      <xdr:colOff>104775</xdr:colOff>
      <xdr:row>139</xdr:row>
      <xdr:rowOff>1947797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0912" y="27203399"/>
          <a:ext cx="2406563" cy="1804923"/>
        </a:xfrm>
        <a:prstGeom prst="rect">
          <a:avLst/>
        </a:prstGeom>
      </xdr:spPr>
    </xdr:pic>
    <xdr:clientData/>
  </xdr:twoCellAnchor>
  <xdr:twoCellAnchor editAs="oneCell">
    <xdr:from>
      <xdr:col>11</xdr:col>
      <xdr:colOff>543507</xdr:colOff>
      <xdr:row>139</xdr:row>
      <xdr:rowOff>123825</xdr:rowOff>
    </xdr:from>
    <xdr:to>
      <xdr:col>15</xdr:col>
      <xdr:colOff>142875</xdr:colOff>
      <xdr:row>139</xdr:row>
      <xdr:rowOff>1966476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582" y="27184350"/>
          <a:ext cx="2456868" cy="1842651"/>
        </a:xfrm>
        <a:prstGeom prst="rect">
          <a:avLst/>
        </a:prstGeom>
      </xdr:spPr>
    </xdr:pic>
    <xdr:clientData/>
  </xdr:twoCellAnchor>
  <xdr:twoCellAnchor editAs="oneCell">
    <xdr:from>
      <xdr:col>2</xdr:col>
      <xdr:colOff>572647</xdr:colOff>
      <xdr:row>139</xdr:row>
      <xdr:rowOff>112052</xdr:rowOff>
    </xdr:from>
    <xdr:to>
      <xdr:col>4</xdr:col>
      <xdr:colOff>465577</xdr:colOff>
      <xdr:row>139</xdr:row>
      <xdr:rowOff>1874292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347" y="27172577"/>
          <a:ext cx="1321680" cy="176224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1365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130</xdr:row>
      <xdr:rowOff>63500</xdr:rowOff>
    </xdr:from>
    <xdr:to>
      <xdr:col>5</xdr:col>
      <xdr:colOff>408063</xdr:colOff>
      <xdr:row>136</xdr:row>
      <xdr:rowOff>250298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4599900"/>
          <a:ext cx="3041196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130</xdr:row>
      <xdr:rowOff>63500</xdr:rowOff>
    </xdr:from>
    <xdr:to>
      <xdr:col>10</xdr:col>
      <xdr:colOff>287168</xdr:colOff>
      <xdr:row>136</xdr:row>
      <xdr:rowOff>250298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4599900"/>
          <a:ext cx="3010260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4</xdr:col>
      <xdr:colOff>707523</xdr:colOff>
      <xdr:row>108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8"/>
  <sheetViews>
    <sheetView zoomScale="85" zoomScaleNormal="85" workbookViewId="0">
      <selection activeCell="E44" sqref="E44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98" t="s">
        <v>38</v>
      </c>
      <c r="C2" s="98"/>
      <c r="D2" s="98"/>
      <c r="E2" s="98"/>
      <c r="F2" s="98"/>
      <c r="G2" s="98"/>
      <c r="H2" s="98"/>
      <c r="I2" s="98"/>
      <c r="J2" s="98"/>
    </row>
    <row r="3" spans="2:10" ht="6.75" customHeight="1" x14ac:dyDescent="0.25">
      <c r="B3" s="99"/>
      <c r="C3" s="100"/>
      <c r="D3" s="100"/>
      <c r="E3" s="100"/>
      <c r="F3" s="100"/>
      <c r="G3" s="100"/>
      <c r="H3" s="100"/>
      <c r="I3" s="100"/>
      <c r="J3" s="101"/>
    </row>
    <row r="4" spans="2:10" x14ac:dyDescent="0.25">
      <c r="B4" s="102"/>
      <c r="C4" s="104"/>
      <c r="D4" s="104"/>
      <c r="E4" s="104"/>
      <c r="F4" s="104"/>
      <c r="G4" s="104"/>
      <c r="H4" s="104"/>
      <c r="I4" s="104"/>
      <c r="J4" s="105"/>
    </row>
    <row r="5" spans="2:10" x14ac:dyDescent="0.25">
      <c r="B5" s="102"/>
      <c r="C5" s="104"/>
      <c r="D5" s="104"/>
      <c r="E5" s="104"/>
      <c r="F5" s="104"/>
      <c r="G5" s="104"/>
      <c r="H5" s="104"/>
      <c r="I5" s="104"/>
      <c r="J5" s="105"/>
    </row>
    <row r="6" spans="2:10" x14ac:dyDescent="0.25">
      <c r="B6" s="102"/>
      <c r="C6" s="104"/>
      <c r="D6" s="104"/>
      <c r="E6" s="104"/>
      <c r="F6" s="104"/>
      <c r="G6" s="104"/>
      <c r="H6" s="104"/>
      <c r="I6" s="104"/>
      <c r="J6" s="105"/>
    </row>
    <row r="7" spans="2:10" x14ac:dyDescent="0.25">
      <c r="B7" s="102"/>
      <c r="C7" s="104"/>
      <c r="D7" s="104"/>
      <c r="E7" s="104"/>
      <c r="F7" s="104"/>
      <c r="G7" s="104"/>
      <c r="H7" s="104"/>
      <c r="I7" s="104"/>
      <c r="J7" s="105"/>
    </row>
    <row r="8" spans="2:10" x14ac:dyDescent="0.25">
      <c r="B8" s="102"/>
      <c r="C8" s="104"/>
      <c r="D8" s="104"/>
      <c r="E8" s="104"/>
      <c r="F8" s="104"/>
      <c r="G8" s="104"/>
      <c r="H8" s="104"/>
      <c r="I8" s="104"/>
      <c r="J8" s="105"/>
    </row>
    <row r="9" spans="2:10" x14ac:dyDescent="0.25">
      <c r="B9" s="102"/>
      <c r="C9" s="104"/>
      <c r="D9" s="104"/>
      <c r="E9" s="104"/>
      <c r="F9" s="104"/>
      <c r="G9" s="104"/>
      <c r="H9" s="104"/>
      <c r="I9" s="104"/>
      <c r="J9" s="105"/>
    </row>
    <row r="10" spans="2:10" x14ac:dyDescent="0.25">
      <c r="B10" s="102"/>
      <c r="C10" s="104"/>
      <c r="D10" s="104"/>
      <c r="E10" s="104"/>
      <c r="F10" s="104"/>
      <c r="G10" s="104"/>
      <c r="H10" s="104"/>
      <c r="I10" s="104"/>
      <c r="J10" s="105"/>
    </row>
    <row r="11" spans="2:10" x14ac:dyDescent="0.25">
      <c r="B11" s="102"/>
      <c r="C11" s="104"/>
      <c r="D11" s="104"/>
      <c r="E11" s="104"/>
      <c r="F11" s="104"/>
      <c r="G11" s="104"/>
      <c r="H11" s="104"/>
      <c r="I11" s="104"/>
      <c r="J11" s="105"/>
    </row>
    <row r="12" spans="2:10" x14ac:dyDescent="0.25">
      <c r="B12" s="102"/>
      <c r="C12" s="104"/>
      <c r="D12" s="104"/>
      <c r="E12" s="104"/>
      <c r="F12" s="104"/>
      <c r="G12" s="104"/>
      <c r="H12" s="104"/>
      <c r="I12" s="104"/>
      <c r="J12" s="105"/>
    </row>
    <row r="13" spans="2:10" x14ac:dyDescent="0.25">
      <c r="B13" s="102"/>
      <c r="C13" s="104"/>
      <c r="D13" s="104"/>
      <c r="E13" s="104"/>
      <c r="F13" s="104"/>
      <c r="G13" s="104"/>
      <c r="H13" s="104"/>
      <c r="I13" s="104"/>
      <c r="J13" s="105"/>
    </row>
    <row r="14" spans="2:10" x14ac:dyDescent="0.25">
      <c r="B14" s="102"/>
      <c r="C14" s="104"/>
      <c r="D14" s="104"/>
      <c r="E14" s="104"/>
      <c r="F14" s="104"/>
      <c r="G14" s="104"/>
      <c r="H14" s="104"/>
      <c r="I14" s="104"/>
      <c r="J14" s="105"/>
    </row>
    <row r="15" spans="2:10" x14ac:dyDescent="0.25">
      <c r="B15" s="102"/>
      <c r="C15" s="104"/>
      <c r="D15" s="104"/>
      <c r="E15" s="104"/>
      <c r="F15" s="104"/>
      <c r="G15" s="104"/>
      <c r="H15" s="104"/>
      <c r="I15" s="104"/>
      <c r="J15" s="105"/>
    </row>
    <row r="16" spans="2:10" x14ac:dyDescent="0.25">
      <c r="B16" s="102"/>
      <c r="C16" s="104"/>
      <c r="D16" s="104"/>
      <c r="E16" s="104"/>
      <c r="F16" s="104"/>
      <c r="G16" s="104"/>
      <c r="H16" s="104"/>
      <c r="I16" s="104"/>
      <c r="J16" s="105"/>
    </row>
    <row r="17" spans="2:10" x14ac:dyDescent="0.25">
      <c r="B17" s="102"/>
      <c r="C17" s="104"/>
      <c r="D17" s="104"/>
      <c r="E17" s="104"/>
      <c r="F17" s="104"/>
      <c r="G17" s="104"/>
      <c r="H17" s="104"/>
      <c r="I17" s="104"/>
      <c r="J17" s="105"/>
    </row>
    <row r="18" spans="2:10" x14ac:dyDescent="0.25">
      <c r="B18" s="102"/>
      <c r="C18" s="104"/>
      <c r="D18" s="104"/>
      <c r="E18" s="104"/>
      <c r="F18" s="104"/>
      <c r="G18" s="104"/>
      <c r="H18" s="104"/>
      <c r="I18" s="104"/>
      <c r="J18" s="105"/>
    </row>
    <row r="19" spans="2:10" x14ac:dyDescent="0.25">
      <c r="B19" s="102"/>
      <c r="C19" s="104"/>
      <c r="D19" s="104"/>
      <c r="E19" s="104"/>
      <c r="F19" s="104"/>
      <c r="G19" s="104"/>
      <c r="H19" s="104"/>
      <c r="I19" s="104"/>
      <c r="J19" s="105"/>
    </row>
    <row r="20" spans="2:10" x14ac:dyDescent="0.25">
      <c r="B20" s="102"/>
      <c r="C20" s="104"/>
      <c r="D20" s="104"/>
      <c r="E20" s="104"/>
      <c r="F20" s="104"/>
      <c r="G20" s="104"/>
      <c r="H20" s="104"/>
      <c r="I20" s="104"/>
      <c r="J20" s="105"/>
    </row>
    <row r="21" spans="2:10" x14ac:dyDescent="0.25">
      <c r="B21" s="102"/>
      <c r="C21" s="104"/>
      <c r="D21" s="104"/>
      <c r="E21" s="104"/>
      <c r="F21" s="104"/>
      <c r="G21" s="104"/>
      <c r="H21" s="104"/>
      <c r="I21" s="104"/>
      <c r="J21" s="105"/>
    </row>
    <row r="22" spans="2:10" x14ac:dyDescent="0.25">
      <c r="B22" s="102"/>
      <c r="C22" s="104"/>
      <c r="D22" s="104"/>
      <c r="E22" s="104"/>
      <c r="F22" s="104"/>
      <c r="G22" s="104"/>
      <c r="H22" s="104"/>
      <c r="I22" s="104"/>
      <c r="J22" s="105"/>
    </row>
    <row r="23" spans="2:10" x14ac:dyDescent="0.25">
      <c r="B23" s="102"/>
      <c r="C23" s="104"/>
      <c r="D23" s="104"/>
      <c r="E23" s="104"/>
      <c r="F23" s="104"/>
      <c r="G23" s="104"/>
      <c r="H23" s="104"/>
      <c r="I23" s="104"/>
      <c r="J23" s="105"/>
    </row>
    <row r="24" spans="2:10" ht="6.75" customHeight="1" x14ac:dyDescent="0.25">
      <c r="B24" s="103"/>
      <c r="C24" s="107"/>
      <c r="D24" s="107"/>
      <c r="E24" s="107"/>
      <c r="F24" s="107"/>
      <c r="G24" s="107"/>
      <c r="H24" s="107"/>
      <c r="I24" s="107"/>
      <c r="J24" s="106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98" t="s">
        <v>39</v>
      </c>
      <c r="C26" s="98"/>
      <c r="D26" s="98"/>
      <c r="E26" s="98"/>
      <c r="F26" s="98"/>
      <c r="G26" s="98"/>
      <c r="H26" s="98"/>
      <c r="I26" s="98"/>
      <c r="J26" s="98"/>
    </row>
    <row r="27" spans="2:10" ht="6.75" customHeight="1" x14ac:dyDescent="0.25">
      <c r="B27" s="99"/>
      <c r="C27" s="100"/>
      <c r="D27" s="100"/>
      <c r="E27" s="100"/>
      <c r="F27" s="100"/>
      <c r="G27" s="100"/>
      <c r="H27" s="100"/>
      <c r="I27" s="100"/>
      <c r="J27" s="101"/>
    </row>
    <row r="28" spans="2:10" x14ac:dyDescent="0.25">
      <c r="B28" s="102"/>
      <c r="C28" s="104"/>
      <c r="D28" s="104"/>
      <c r="E28" s="104"/>
      <c r="F28" s="104"/>
      <c r="G28" s="104"/>
      <c r="H28" s="104"/>
      <c r="I28" s="104"/>
      <c r="J28" s="105"/>
    </row>
    <row r="29" spans="2:10" x14ac:dyDescent="0.25">
      <c r="B29" s="102"/>
      <c r="C29" s="104"/>
      <c r="D29" s="104"/>
      <c r="E29" s="104"/>
      <c r="F29" s="104"/>
      <c r="G29" s="104"/>
      <c r="H29" s="104"/>
      <c r="I29" s="104"/>
      <c r="J29" s="105"/>
    </row>
    <row r="30" spans="2:10" x14ac:dyDescent="0.25">
      <c r="B30" s="102"/>
      <c r="C30" s="104"/>
      <c r="D30" s="104"/>
      <c r="E30" s="104"/>
      <c r="F30" s="104"/>
      <c r="G30" s="104"/>
      <c r="H30" s="104"/>
      <c r="I30" s="104"/>
      <c r="J30" s="105"/>
    </row>
    <row r="31" spans="2:10" x14ac:dyDescent="0.25">
      <c r="B31" s="102"/>
      <c r="C31" s="104"/>
      <c r="D31" s="104"/>
      <c r="E31" s="104"/>
      <c r="F31" s="104"/>
      <c r="G31" s="104"/>
      <c r="H31" s="104"/>
      <c r="I31" s="104"/>
      <c r="J31" s="105"/>
    </row>
    <row r="32" spans="2:10" x14ac:dyDescent="0.25">
      <c r="B32" s="102"/>
      <c r="C32" s="104"/>
      <c r="D32" s="104"/>
      <c r="E32" s="104"/>
      <c r="F32" s="104"/>
      <c r="G32" s="104"/>
      <c r="H32" s="104"/>
      <c r="I32" s="104"/>
      <c r="J32" s="105"/>
    </row>
    <row r="33" spans="2:10" x14ac:dyDescent="0.25">
      <c r="B33" s="102"/>
      <c r="C33" s="104"/>
      <c r="D33" s="104"/>
      <c r="E33" s="104"/>
      <c r="F33" s="104"/>
      <c r="G33" s="104"/>
      <c r="H33" s="104"/>
      <c r="I33" s="104"/>
      <c r="J33" s="105"/>
    </row>
    <row r="34" spans="2:10" x14ac:dyDescent="0.25">
      <c r="B34" s="102"/>
      <c r="C34" s="104"/>
      <c r="D34" s="104"/>
      <c r="E34" s="104"/>
      <c r="F34" s="104"/>
      <c r="G34" s="104"/>
      <c r="H34" s="104"/>
      <c r="I34" s="104"/>
      <c r="J34" s="105"/>
    </row>
    <row r="35" spans="2:10" x14ac:dyDescent="0.25">
      <c r="B35" s="102"/>
      <c r="C35" s="104"/>
      <c r="D35" s="104"/>
      <c r="E35" s="104"/>
      <c r="F35" s="104"/>
      <c r="G35" s="104"/>
      <c r="H35" s="104"/>
      <c r="I35" s="104"/>
      <c r="J35" s="105"/>
    </row>
    <row r="36" spans="2:10" x14ac:dyDescent="0.25">
      <c r="B36" s="102"/>
      <c r="C36" s="104"/>
      <c r="D36" s="104"/>
      <c r="E36" s="104"/>
      <c r="F36" s="104"/>
      <c r="G36" s="104"/>
      <c r="H36" s="104"/>
      <c r="I36" s="104"/>
      <c r="J36" s="105"/>
    </row>
    <row r="37" spans="2:10" x14ac:dyDescent="0.25">
      <c r="B37" s="102"/>
      <c r="C37" s="104"/>
      <c r="D37" s="104"/>
      <c r="E37" s="104"/>
      <c r="F37" s="104"/>
      <c r="G37" s="104"/>
      <c r="H37" s="104"/>
      <c r="I37" s="104"/>
      <c r="J37" s="105"/>
    </row>
    <row r="38" spans="2:10" ht="6.75" customHeight="1" x14ac:dyDescent="0.25">
      <c r="B38" s="103"/>
      <c r="C38" s="107"/>
      <c r="D38" s="107"/>
      <c r="E38" s="107"/>
      <c r="F38" s="107"/>
      <c r="G38" s="107"/>
      <c r="H38" s="107"/>
      <c r="I38" s="107"/>
      <c r="J38" s="106"/>
    </row>
  </sheetData>
  <mergeCells count="12">
    <mergeCell ref="B2:J2"/>
    <mergeCell ref="C4:I23"/>
    <mergeCell ref="B3:J3"/>
    <mergeCell ref="B4:B24"/>
    <mergeCell ref="J4:J24"/>
    <mergeCell ref="C24:I24"/>
    <mergeCell ref="B26:J26"/>
    <mergeCell ref="B27:J27"/>
    <mergeCell ref="B28:B38"/>
    <mergeCell ref="C28:I37"/>
    <mergeCell ref="J28:J38"/>
    <mergeCell ref="C38:I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8"/>
  <sheetViews>
    <sheetView tabSelected="1"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7"/>
      <c r="B2" s="318"/>
      <c r="C2" s="319"/>
      <c r="D2" s="320"/>
      <c r="E2" s="321" t="s">
        <v>119</v>
      </c>
      <c r="F2" s="322"/>
      <c r="G2" s="322"/>
      <c r="H2" s="322"/>
      <c r="I2" s="322"/>
      <c r="J2" s="322"/>
      <c r="K2" s="322"/>
      <c r="L2" s="322"/>
      <c r="M2" s="322"/>
      <c r="N2" s="322"/>
      <c r="O2" s="323"/>
      <c r="P2" s="324"/>
    </row>
    <row r="3" spans="1:26" s="2" customFormat="1" ht="25.5" customHeight="1" thickBot="1" x14ac:dyDescent="0.3">
      <c r="A3" s="317"/>
      <c r="B3" s="325"/>
      <c r="C3" s="326"/>
      <c r="D3" s="327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30"/>
      <c r="P3" s="331"/>
    </row>
    <row r="4" spans="1:26" s="91" customFormat="1" ht="11.25" customHeight="1" thickBot="1" x14ac:dyDescent="0.3">
      <c r="A4" s="15"/>
      <c r="B4" s="295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6">
        <v>43052</v>
      </c>
      <c r="D5" s="297"/>
      <c r="E5" s="70" t="s">
        <v>50</v>
      </c>
      <c r="F5" s="71">
        <v>1</v>
      </c>
      <c r="G5" s="72" t="s">
        <v>1</v>
      </c>
      <c r="H5" s="298" t="s">
        <v>120</v>
      </c>
      <c r="I5" s="299"/>
      <c r="J5" s="299"/>
      <c r="K5" s="299"/>
      <c r="L5" s="299"/>
      <c r="M5" s="299"/>
      <c r="N5" s="299"/>
      <c r="O5" s="299"/>
      <c r="P5" s="300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9" t="s">
        <v>2</v>
      </c>
      <c r="C6" s="280"/>
      <c r="D6" s="281" t="s">
        <v>106</v>
      </c>
      <c r="E6" s="282"/>
      <c r="F6" s="282"/>
      <c r="G6" s="282"/>
      <c r="H6" s="282"/>
      <c r="I6" s="283"/>
      <c r="J6" s="74" t="s">
        <v>3</v>
      </c>
      <c r="K6" s="284" t="s">
        <v>107</v>
      </c>
      <c r="L6" s="283"/>
      <c r="M6" s="284" t="s">
        <v>108</v>
      </c>
      <c r="N6" s="285"/>
      <c r="O6" s="75" t="s">
        <v>51</v>
      </c>
      <c r="P6" s="76">
        <v>1186</v>
      </c>
    </row>
    <row r="7" spans="1:26" s="18" customFormat="1" ht="21.75" customHeight="1" x14ac:dyDescent="0.25">
      <c r="B7" s="286" t="s">
        <v>52</v>
      </c>
      <c r="C7" s="287" t="s">
        <v>53</v>
      </c>
      <c r="D7" s="257"/>
      <c r="E7" s="78"/>
      <c r="F7" s="288" t="s">
        <v>54</v>
      </c>
      <c r="G7" s="289"/>
      <c r="H7" s="289"/>
      <c r="I7" s="289"/>
      <c r="J7" s="290" t="s">
        <v>55</v>
      </c>
      <c r="K7" s="291"/>
      <c r="L7" s="291"/>
      <c r="M7" s="292"/>
      <c r="N7" s="293" t="s">
        <v>101</v>
      </c>
      <c r="O7" s="294"/>
      <c r="P7" s="79" t="s">
        <v>56</v>
      </c>
    </row>
    <row r="8" spans="1:26" s="18" customFormat="1" ht="21.75" customHeight="1" thickBot="1" x14ac:dyDescent="0.3">
      <c r="B8" s="231"/>
      <c r="C8" s="248" t="s">
        <v>57</v>
      </c>
      <c r="D8" s="247"/>
      <c r="E8" s="80" t="s">
        <v>4</v>
      </c>
      <c r="F8" s="258" t="s">
        <v>5</v>
      </c>
      <c r="G8" s="259"/>
      <c r="H8" s="259"/>
      <c r="I8" s="259"/>
      <c r="J8" s="260"/>
      <c r="K8" s="261"/>
      <c r="L8" s="261"/>
      <c r="M8" s="262"/>
      <c r="N8" s="263"/>
      <c r="O8" s="264"/>
      <c r="P8" s="81"/>
    </row>
    <row r="9" spans="1:26" s="18" customFormat="1" ht="21.75" customHeight="1" x14ac:dyDescent="0.25">
      <c r="B9" s="265" t="s">
        <v>6</v>
      </c>
      <c r="C9" s="268" t="s">
        <v>58</v>
      </c>
      <c r="D9" s="269" t="s">
        <v>59</v>
      </c>
      <c r="E9" s="254"/>
      <c r="F9" s="82"/>
      <c r="G9" s="270" t="s">
        <v>7</v>
      </c>
      <c r="H9" s="271" t="s">
        <v>8</v>
      </c>
      <c r="I9" s="257"/>
      <c r="J9" s="83" t="s">
        <v>4</v>
      </c>
      <c r="K9" s="268" t="s">
        <v>60</v>
      </c>
      <c r="L9" s="272" t="s">
        <v>109</v>
      </c>
      <c r="M9" s="273"/>
      <c r="N9" s="274"/>
      <c r="O9" s="274"/>
      <c r="P9" s="275"/>
    </row>
    <row r="10" spans="1:26" s="18" customFormat="1" ht="21.75" customHeight="1" thickBot="1" x14ac:dyDescent="0.3">
      <c r="B10" s="266"/>
      <c r="C10" s="211"/>
      <c r="D10" s="252" t="s">
        <v>61</v>
      </c>
      <c r="E10" s="247"/>
      <c r="F10" s="84" t="s">
        <v>4</v>
      </c>
      <c r="G10" s="211"/>
      <c r="H10" s="252" t="s">
        <v>9</v>
      </c>
      <c r="I10" s="247"/>
      <c r="J10" s="85"/>
      <c r="K10" s="211"/>
      <c r="L10" s="276"/>
      <c r="M10" s="277"/>
      <c r="N10" s="277"/>
      <c r="O10" s="277"/>
      <c r="P10" s="278"/>
    </row>
    <row r="11" spans="1:26" s="18" customFormat="1" ht="21.75" customHeight="1" x14ac:dyDescent="0.25">
      <c r="A11" s="16"/>
      <c r="B11" s="266"/>
      <c r="C11" s="253" t="s">
        <v>10</v>
      </c>
      <c r="D11" s="254"/>
      <c r="E11" s="86">
        <v>0.30069444444444443</v>
      </c>
      <c r="F11" s="255" t="s">
        <v>11</v>
      </c>
      <c r="G11" s="254"/>
      <c r="H11" s="87">
        <v>1.1100000000000001</v>
      </c>
      <c r="I11" s="256" t="s">
        <v>12</v>
      </c>
      <c r="J11" s="257"/>
      <c r="K11" s="87">
        <v>18</v>
      </c>
      <c r="L11" s="253" t="s">
        <v>13</v>
      </c>
      <c r="M11" s="254"/>
      <c r="N11" s="88">
        <v>19.25</v>
      </c>
      <c r="O11" s="244" t="s">
        <v>62</v>
      </c>
      <c r="P11" s="245"/>
    </row>
    <row r="12" spans="1:26" s="18" customFormat="1" ht="21.75" customHeight="1" thickBot="1" x14ac:dyDescent="0.3">
      <c r="A12" s="16"/>
      <c r="B12" s="267"/>
      <c r="C12" s="246" t="s">
        <v>14</v>
      </c>
      <c r="D12" s="247"/>
      <c r="E12" s="86">
        <v>0.38750000000000001</v>
      </c>
      <c r="F12" s="248" t="s">
        <v>15</v>
      </c>
      <c r="G12" s="247"/>
      <c r="H12" s="87">
        <v>1.1499999999999999</v>
      </c>
      <c r="I12" s="249" t="s">
        <v>16</v>
      </c>
      <c r="J12" s="247"/>
      <c r="K12" s="86">
        <v>0.3263888888888889</v>
      </c>
      <c r="L12" s="246" t="s">
        <v>17</v>
      </c>
      <c r="M12" s="247"/>
      <c r="N12" s="89">
        <v>1</v>
      </c>
      <c r="O12" s="250">
        <v>2.1</v>
      </c>
      <c r="P12" s="251"/>
    </row>
    <row r="13" spans="1:26" s="18" customFormat="1" ht="21.75" customHeight="1" x14ac:dyDescent="0.25">
      <c r="A13" s="16"/>
      <c r="B13" s="229" t="s">
        <v>18</v>
      </c>
      <c r="C13" s="232" t="s">
        <v>63</v>
      </c>
      <c r="D13" s="233"/>
      <c r="E13" s="233"/>
      <c r="F13" s="234" t="s">
        <v>64</v>
      </c>
      <c r="G13" s="233"/>
      <c r="H13" s="233"/>
      <c r="I13" s="233"/>
      <c r="J13" s="234" t="s">
        <v>65</v>
      </c>
      <c r="K13" s="233"/>
      <c r="L13" s="233"/>
      <c r="M13" s="233"/>
      <c r="N13" s="235" t="s">
        <v>66</v>
      </c>
      <c r="O13" s="233"/>
      <c r="P13" s="236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0"/>
      <c r="C14" s="237" t="s">
        <v>67</v>
      </c>
      <c r="D14" s="238"/>
      <c r="E14" s="238"/>
      <c r="F14" s="239" t="s">
        <v>68</v>
      </c>
      <c r="G14" s="238"/>
      <c r="H14" s="238"/>
      <c r="I14" s="238"/>
      <c r="J14" s="240" t="s">
        <v>69</v>
      </c>
      <c r="K14" s="238"/>
      <c r="L14" s="238"/>
      <c r="M14" s="238"/>
      <c r="N14" s="241"/>
      <c r="O14" s="226"/>
      <c r="P14" s="242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1"/>
      <c r="C15" s="243" t="s">
        <v>70</v>
      </c>
      <c r="D15" s="213"/>
      <c r="E15" s="213"/>
      <c r="F15" s="213" t="s">
        <v>71</v>
      </c>
      <c r="G15" s="214"/>
      <c r="H15" s="214"/>
      <c r="I15" s="214"/>
      <c r="J15" s="213" t="s">
        <v>72</v>
      </c>
      <c r="K15" s="214"/>
      <c r="L15" s="214"/>
      <c r="M15" s="214"/>
      <c r="N15" s="215"/>
      <c r="O15" s="216"/>
      <c r="P15" s="2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8" t="s">
        <v>19</v>
      </c>
      <c r="C16" s="220" t="s">
        <v>20</v>
      </c>
      <c r="D16" s="220" t="s">
        <v>40</v>
      </c>
      <c r="E16" s="222" t="s">
        <v>21</v>
      </c>
      <c r="F16" s="223" t="s">
        <v>41</v>
      </c>
      <c r="G16" s="224"/>
      <c r="H16" s="220" t="s">
        <v>73</v>
      </c>
      <c r="I16" s="227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9"/>
      <c r="C17" s="221"/>
      <c r="D17" s="221"/>
      <c r="E17" s="221"/>
      <c r="F17" s="225"/>
      <c r="G17" s="226"/>
      <c r="H17" s="221"/>
      <c r="I17" s="228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2.1</v>
      </c>
      <c r="D18" s="29">
        <v>0.13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9">
        <v>1</v>
      </c>
      <c r="C19" s="212">
        <f>+C18+$N$12</f>
        <v>3.1</v>
      </c>
      <c r="D19" s="189">
        <v>0.48499999999999999</v>
      </c>
      <c r="E19" s="189">
        <v>0.245</v>
      </c>
      <c r="F19" s="36" t="s">
        <v>75</v>
      </c>
      <c r="G19" s="37">
        <v>0</v>
      </c>
      <c r="H19" s="38"/>
      <c r="I19" s="39"/>
      <c r="J19" s="40">
        <v>6.4000000000000001E-2</v>
      </c>
      <c r="K19" s="189">
        <f>+IF(E19&lt;=0.12,(J21),(IF(E19&lt;0.16,((J20+2*J21+J22)/4),IF(E19&gt;=0.16,((J19+3*J20+2*J21+3*J22+J23)/10)))))</f>
        <v>8.14E-2</v>
      </c>
      <c r="L19" s="189">
        <f>ROUND(+(D18+D19)/2*(C19-C18),3)</f>
        <v>0.308</v>
      </c>
      <c r="M19" s="189">
        <f>ROUND(+K19*L19,4)</f>
        <v>2.5100000000000001E-2</v>
      </c>
      <c r="N19" s="192">
        <f>ROUND(+M19/$M$133*100,2)</f>
        <v>0.35</v>
      </c>
      <c r="O19" s="193"/>
      <c r="P19" s="194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0"/>
      <c r="C20" s="190"/>
      <c r="D20" s="190"/>
      <c r="E20" s="190"/>
      <c r="F20" s="41" t="s">
        <v>76</v>
      </c>
      <c r="G20" s="42">
        <f>IF(E19&lt;0.125,"NA",IF(0.125&lt;=E19,(0.2*E19)))</f>
        <v>4.9000000000000002E-2</v>
      </c>
      <c r="H20" s="43"/>
      <c r="I20" s="44"/>
      <c r="J20" s="45">
        <v>6.8000000000000005E-2</v>
      </c>
      <c r="K20" s="190"/>
      <c r="L20" s="190"/>
      <c r="M20" s="190"/>
      <c r="N20" s="190"/>
      <c r="O20" s="190"/>
      <c r="P20" s="195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0"/>
      <c r="C21" s="190"/>
      <c r="D21" s="190"/>
      <c r="E21" s="190"/>
      <c r="F21" s="41" t="s">
        <v>77</v>
      </c>
      <c r="G21" s="42">
        <f>+E19*0.4</f>
        <v>9.8000000000000004E-2</v>
      </c>
      <c r="H21" s="43"/>
      <c r="I21" s="44"/>
      <c r="J21" s="45">
        <v>6.7000000000000004E-2</v>
      </c>
      <c r="K21" s="190"/>
      <c r="L21" s="190"/>
      <c r="M21" s="190"/>
      <c r="N21" s="190"/>
      <c r="O21" s="190"/>
      <c r="P21" s="195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0"/>
      <c r="C22" s="190"/>
      <c r="D22" s="190"/>
      <c r="E22" s="190"/>
      <c r="F22" s="41" t="s">
        <v>78</v>
      </c>
      <c r="G22" s="42">
        <f>IF(E19&lt;0.125,"NA",IF(0.125&lt;=E19,(0.8*E19)))</f>
        <v>0.19600000000000001</v>
      </c>
      <c r="H22" s="43"/>
      <c r="I22" s="44"/>
      <c r="J22" s="45">
        <v>0.107</v>
      </c>
      <c r="K22" s="190"/>
      <c r="L22" s="190"/>
      <c r="M22" s="190"/>
      <c r="N22" s="190"/>
      <c r="O22" s="190"/>
      <c r="P22" s="195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1"/>
      <c r="C23" s="191"/>
      <c r="D23" s="191"/>
      <c r="E23" s="191"/>
      <c r="F23" s="46" t="s">
        <v>79</v>
      </c>
      <c r="G23" s="47">
        <f>+E19</f>
        <v>0.245</v>
      </c>
      <c r="H23" s="48"/>
      <c r="I23" s="49"/>
      <c r="J23" s="50">
        <v>9.0999999999999998E-2</v>
      </c>
      <c r="K23" s="191"/>
      <c r="L23" s="191"/>
      <c r="M23" s="191"/>
      <c r="N23" s="191"/>
      <c r="O23" s="191"/>
      <c r="P23" s="196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9">
        <v>2</v>
      </c>
      <c r="C24" s="212">
        <f>+C19+$N$12</f>
        <v>4.0999999999999996</v>
      </c>
      <c r="D24" s="189">
        <v>0.59499999999999997</v>
      </c>
      <c r="E24" s="189">
        <v>0.60499999999999998</v>
      </c>
      <c r="F24" s="36" t="s">
        <v>75</v>
      </c>
      <c r="G24" s="37">
        <v>0</v>
      </c>
      <c r="H24" s="38"/>
      <c r="I24" s="39"/>
      <c r="J24" s="40">
        <v>9.4E-2</v>
      </c>
      <c r="K24" s="189">
        <f t="shared" ref="K24" si="0">+IF(E24&lt;=0.12,(J26),(IF(E24&lt;0.16,((J25+2*J26+J27)/4),IF(E24&gt;=0.16,((J24+3*J25+2*J26+3*J27+J28)/10)))))</f>
        <v>0.57230000000000003</v>
      </c>
      <c r="L24" s="189">
        <f>ROUND(+(D19+D24)/2*(C24-C19),3)</f>
        <v>0.54</v>
      </c>
      <c r="M24" s="189">
        <f t="shared" ref="M24" si="1">ROUND(+K24*L24,4)</f>
        <v>0.309</v>
      </c>
      <c r="N24" s="192">
        <f t="shared" ref="N24" si="2">ROUND(+M24/$M$133*100,2)</f>
        <v>4.32</v>
      </c>
      <c r="O24" s="193"/>
      <c r="P24" s="194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0"/>
      <c r="C25" s="190"/>
      <c r="D25" s="190"/>
      <c r="E25" s="190"/>
      <c r="F25" s="41" t="s">
        <v>76</v>
      </c>
      <c r="G25" s="42">
        <f t="shared" ref="G25" si="3">IF(E24&lt;0.125,"NA",IF(0.125&lt;=E24,(0.2*E24)))</f>
        <v>0.121</v>
      </c>
      <c r="H25" s="43"/>
      <c r="I25" s="44"/>
      <c r="J25" s="45">
        <v>0.53900000000000003</v>
      </c>
      <c r="K25" s="190"/>
      <c r="L25" s="190"/>
      <c r="M25" s="190"/>
      <c r="N25" s="190"/>
      <c r="O25" s="190"/>
      <c r="P25" s="195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0"/>
      <c r="C26" s="190"/>
      <c r="D26" s="190"/>
      <c r="E26" s="190"/>
      <c r="F26" s="41" t="s">
        <v>77</v>
      </c>
      <c r="G26" s="42">
        <f t="shared" ref="G26" si="4">+E24*0.4</f>
        <v>0.24199999999999999</v>
      </c>
      <c r="H26" s="43"/>
      <c r="I26" s="44"/>
      <c r="J26" s="45">
        <v>0.67</v>
      </c>
      <c r="K26" s="190"/>
      <c r="L26" s="190"/>
      <c r="M26" s="190"/>
      <c r="N26" s="190"/>
      <c r="O26" s="190"/>
      <c r="P26" s="195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0"/>
      <c r="C27" s="190"/>
      <c r="D27" s="190"/>
      <c r="E27" s="190"/>
      <c r="F27" s="41" t="s">
        <v>78</v>
      </c>
      <c r="G27" s="42">
        <f t="shared" ref="G27" si="5">IF(E24&lt;0.125,"NA",IF(0.125&lt;=E24,(0.8*E24)))</f>
        <v>0.48399999999999999</v>
      </c>
      <c r="H27" s="43"/>
      <c r="I27" s="44"/>
      <c r="J27" s="45">
        <v>0.67300000000000004</v>
      </c>
      <c r="K27" s="190"/>
      <c r="L27" s="190"/>
      <c r="M27" s="190"/>
      <c r="N27" s="190"/>
      <c r="O27" s="190"/>
      <c r="P27" s="195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1"/>
      <c r="C28" s="191"/>
      <c r="D28" s="191"/>
      <c r="E28" s="191"/>
      <c r="F28" s="46" t="s">
        <v>79</v>
      </c>
      <c r="G28" s="47">
        <f t="shared" ref="G28" si="6">+E24</f>
        <v>0.60499999999999998</v>
      </c>
      <c r="H28" s="48"/>
      <c r="I28" s="49"/>
      <c r="J28" s="50">
        <v>0.65300000000000002</v>
      </c>
      <c r="K28" s="191"/>
      <c r="L28" s="191"/>
      <c r="M28" s="191"/>
      <c r="N28" s="191"/>
      <c r="O28" s="191"/>
      <c r="P28" s="196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9">
        <v>3</v>
      </c>
      <c r="C29" s="212">
        <f>+C24+$N$12</f>
        <v>5.0999999999999996</v>
      </c>
      <c r="D29" s="189">
        <v>0.745</v>
      </c>
      <c r="E29" s="189">
        <v>0.69499999999999995</v>
      </c>
      <c r="F29" s="36" t="s">
        <v>75</v>
      </c>
      <c r="G29" s="37">
        <v>0</v>
      </c>
      <c r="H29" s="38"/>
      <c r="I29" s="39"/>
      <c r="J29" s="40">
        <v>0.626</v>
      </c>
      <c r="K29" s="189">
        <f t="shared" ref="K29" si="7">+IF(E29&lt;=0.12,(J31),(IF(E29&lt;0.16,((J30+2*J31+J32)/4),IF(E29&gt;=0.16,((J29+3*J30+2*J31+3*J32+J33)/10)))))</f>
        <v>0.78449999999999998</v>
      </c>
      <c r="L29" s="189">
        <f>ROUND(+(D24+D29)/2*(C29-C24),3)</f>
        <v>0.67</v>
      </c>
      <c r="M29" s="189">
        <f t="shared" ref="M29" si="8">ROUND(+K29*L29,4)</f>
        <v>0.52559999999999996</v>
      </c>
      <c r="N29" s="192">
        <f t="shared" ref="N29" si="9">ROUND(+M29/$M$133*100,2)</f>
        <v>7.35</v>
      </c>
      <c r="O29" s="193"/>
      <c r="P29" s="19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0"/>
      <c r="C30" s="190"/>
      <c r="D30" s="190"/>
      <c r="E30" s="190"/>
      <c r="F30" s="41" t="s">
        <v>76</v>
      </c>
      <c r="G30" s="42">
        <f t="shared" ref="G30" si="10">IF(E29&lt;0.125,"NA",IF(0.125&lt;=E29,(0.2*E29)))</f>
        <v>0.13899999999999998</v>
      </c>
      <c r="H30" s="43"/>
      <c r="I30" s="44"/>
      <c r="J30" s="45">
        <v>0.57999999999999996</v>
      </c>
      <c r="K30" s="190"/>
      <c r="L30" s="190"/>
      <c r="M30" s="190"/>
      <c r="N30" s="190"/>
      <c r="O30" s="190"/>
      <c r="P30" s="195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0"/>
      <c r="C31" s="190"/>
      <c r="D31" s="190"/>
      <c r="E31" s="190"/>
      <c r="F31" s="41" t="s">
        <v>77</v>
      </c>
      <c r="G31" s="42">
        <f t="shared" ref="G31" si="11">+E29*0.4</f>
        <v>0.27799999999999997</v>
      </c>
      <c r="H31" s="43"/>
      <c r="I31" s="44"/>
      <c r="J31" s="45">
        <v>0.89800000000000002</v>
      </c>
      <c r="K31" s="190"/>
      <c r="L31" s="190"/>
      <c r="M31" s="190"/>
      <c r="N31" s="190"/>
      <c r="O31" s="190"/>
      <c r="P31" s="195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0"/>
      <c r="C32" s="190"/>
      <c r="D32" s="190"/>
      <c r="E32" s="190"/>
      <c r="F32" s="41" t="s">
        <v>78</v>
      </c>
      <c r="G32" s="42">
        <f t="shared" ref="G32" si="12">IF(E29&lt;0.125,"NA",IF(0.125&lt;=E29,(0.8*E29)))</f>
        <v>0.55599999999999994</v>
      </c>
      <c r="H32" s="43"/>
      <c r="I32" s="44"/>
      <c r="J32" s="45">
        <v>0.91100000000000003</v>
      </c>
      <c r="K32" s="190"/>
      <c r="L32" s="190"/>
      <c r="M32" s="190"/>
      <c r="N32" s="190"/>
      <c r="O32" s="190"/>
      <c r="P32" s="195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1"/>
      <c r="C33" s="191"/>
      <c r="D33" s="191"/>
      <c r="E33" s="191"/>
      <c r="F33" s="46" t="s">
        <v>79</v>
      </c>
      <c r="G33" s="47">
        <f t="shared" ref="G33" si="13">+E29</f>
        <v>0.69499999999999995</v>
      </c>
      <c r="H33" s="48"/>
      <c r="I33" s="49"/>
      <c r="J33" s="50">
        <v>0.95</v>
      </c>
      <c r="K33" s="191"/>
      <c r="L33" s="191"/>
      <c r="M33" s="191"/>
      <c r="N33" s="191"/>
      <c r="O33" s="191"/>
      <c r="P33" s="196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9">
        <v>4</v>
      </c>
      <c r="C34" s="212">
        <f>+C29+$N$12</f>
        <v>6.1</v>
      </c>
      <c r="D34" s="189">
        <v>0.75700000000000001</v>
      </c>
      <c r="E34" s="189">
        <v>0.77500000000000002</v>
      </c>
      <c r="F34" s="36" t="s">
        <v>75</v>
      </c>
      <c r="G34" s="37">
        <v>0</v>
      </c>
      <c r="H34" s="38"/>
      <c r="I34" s="39"/>
      <c r="J34" s="40">
        <v>0.65400000000000003</v>
      </c>
      <c r="K34" s="189">
        <f t="shared" ref="K34" si="14">+IF(E34&lt;=0.12,(J36),(IF(E34&lt;0.16,((J35+2*J36+J37)/4),IF(E34&gt;=0.16,((J34+3*J35+2*J36+3*J37+J38)/10)))))</f>
        <v>1.1231</v>
      </c>
      <c r="L34" s="189">
        <f>ROUND(+(D29+D34)/2*(C34-C29),3)</f>
        <v>0.751</v>
      </c>
      <c r="M34" s="189">
        <f t="shared" ref="M34" si="15">ROUND(+K34*L34,4)</f>
        <v>0.84340000000000004</v>
      </c>
      <c r="N34" s="192">
        <f t="shared" ref="N34" si="16">ROUND(+M34/$M$133*100,2)</f>
        <v>11.8</v>
      </c>
      <c r="O34" s="193"/>
      <c r="P34" s="194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0"/>
      <c r="C35" s="190"/>
      <c r="D35" s="190"/>
      <c r="E35" s="190"/>
      <c r="F35" s="41" t="s">
        <v>76</v>
      </c>
      <c r="G35" s="42">
        <f t="shared" ref="G35" si="17">IF(E34&lt;0.125,"NA",IF(0.125&lt;=E34,(0.2*E34)))</f>
        <v>0.15500000000000003</v>
      </c>
      <c r="H35" s="43"/>
      <c r="I35" s="44"/>
      <c r="J35" s="45">
        <v>1.01</v>
      </c>
      <c r="K35" s="190"/>
      <c r="L35" s="190"/>
      <c r="M35" s="190"/>
      <c r="N35" s="190"/>
      <c r="O35" s="190"/>
      <c r="P35" s="195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0"/>
      <c r="C36" s="190"/>
      <c r="D36" s="190"/>
      <c r="E36" s="190"/>
      <c r="F36" s="41" t="s">
        <v>77</v>
      </c>
      <c r="G36" s="42">
        <f t="shared" ref="G36" si="18">+E34*0.4</f>
        <v>0.31000000000000005</v>
      </c>
      <c r="H36" s="43"/>
      <c r="I36" s="44"/>
      <c r="J36" s="45">
        <v>1.089</v>
      </c>
      <c r="K36" s="190"/>
      <c r="L36" s="190"/>
      <c r="M36" s="190"/>
      <c r="N36" s="190"/>
      <c r="O36" s="190"/>
      <c r="P36" s="195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0"/>
      <c r="C37" s="190"/>
      <c r="D37" s="190"/>
      <c r="E37" s="190"/>
      <c r="F37" s="41" t="s">
        <v>78</v>
      </c>
      <c r="G37" s="42">
        <f t="shared" ref="G37" si="19">IF(E34&lt;0.125,"NA",IF(0.125&lt;=E34,(0.8*E34)))</f>
        <v>0.62000000000000011</v>
      </c>
      <c r="H37" s="43"/>
      <c r="I37" s="44"/>
      <c r="J37" s="45">
        <v>1.357</v>
      </c>
      <c r="K37" s="190"/>
      <c r="L37" s="190"/>
      <c r="M37" s="190"/>
      <c r="N37" s="190"/>
      <c r="O37" s="190"/>
      <c r="P37" s="195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1"/>
      <c r="C38" s="191"/>
      <c r="D38" s="191"/>
      <c r="E38" s="191"/>
      <c r="F38" s="46" t="s">
        <v>79</v>
      </c>
      <c r="G38" s="47">
        <f t="shared" ref="G38" si="20">+E34</f>
        <v>0.77500000000000002</v>
      </c>
      <c r="H38" s="48"/>
      <c r="I38" s="49"/>
      <c r="J38" s="50">
        <v>1.298</v>
      </c>
      <c r="K38" s="191"/>
      <c r="L38" s="191"/>
      <c r="M38" s="191"/>
      <c r="N38" s="191"/>
      <c r="O38" s="191"/>
      <c r="P38" s="196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9">
        <v>5</v>
      </c>
      <c r="C39" s="212">
        <f>+C34+$N$12</f>
        <v>7.1</v>
      </c>
      <c r="D39" s="189">
        <v>0.70499999999999996</v>
      </c>
      <c r="E39" s="189">
        <v>0.79800000000000004</v>
      </c>
      <c r="F39" s="36" t="s">
        <v>75</v>
      </c>
      <c r="G39" s="37">
        <v>0</v>
      </c>
      <c r="H39" s="38"/>
      <c r="I39" s="39"/>
      <c r="J39" s="40"/>
      <c r="K39" s="189"/>
      <c r="L39" s="189"/>
      <c r="M39" s="189"/>
      <c r="N39" s="192"/>
      <c r="O39" s="193"/>
      <c r="P39" s="194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0"/>
      <c r="C40" s="190"/>
      <c r="D40" s="190"/>
      <c r="E40" s="190"/>
      <c r="F40" s="41" t="s">
        <v>76</v>
      </c>
      <c r="G40" s="42">
        <f t="shared" ref="G40" si="21">IF(E39&lt;0.125,"NA",IF(0.125&lt;=E39,(0.2*E39)))</f>
        <v>0.15960000000000002</v>
      </c>
      <c r="H40" s="43"/>
      <c r="I40" s="44"/>
      <c r="J40" s="45"/>
      <c r="K40" s="190"/>
      <c r="L40" s="190"/>
      <c r="M40" s="190"/>
      <c r="N40" s="190"/>
      <c r="O40" s="190"/>
      <c r="P40" s="195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0"/>
      <c r="C41" s="190"/>
      <c r="D41" s="190"/>
      <c r="E41" s="190"/>
      <c r="F41" s="41" t="s">
        <v>77</v>
      </c>
      <c r="G41" s="42">
        <f t="shared" ref="G41" si="22">+E39*0.4</f>
        <v>0.31920000000000004</v>
      </c>
      <c r="H41" s="43"/>
      <c r="I41" s="44"/>
      <c r="J41" s="45"/>
      <c r="K41" s="190"/>
      <c r="L41" s="190"/>
      <c r="M41" s="190"/>
      <c r="N41" s="190"/>
      <c r="O41" s="190"/>
      <c r="P41" s="195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0"/>
      <c r="C42" s="190"/>
      <c r="D42" s="190"/>
      <c r="E42" s="190"/>
      <c r="F42" s="41" t="s">
        <v>78</v>
      </c>
      <c r="G42" s="42">
        <f t="shared" ref="G42" si="23">IF(E39&lt;0.125,"NA",IF(0.125&lt;=E39,(0.8*E39)))</f>
        <v>0.63840000000000008</v>
      </c>
      <c r="H42" s="43"/>
      <c r="I42" s="44"/>
      <c r="J42" s="45"/>
      <c r="K42" s="190"/>
      <c r="L42" s="190"/>
      <c r="M42" s="190"/>
      <c r="N42" s="190"/>
      <c r="O42" s="190"/>
      <c r="P42" s="195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1"/>
      <c r="C43" s="191"/>
      <c r="D43" s="191"/>
      <c r="E43" s="191"/>
      <c r="F43" s="46" t="s">
        <v>79</v>
      </c>
      <c r="G43" s="47">
        <f t="shared" ref="G43" si="24">+E39</f>
        <v>0.79800000000000004</v>
      </c>
      <c r="H43" s="48"/>
      <c r="I43" s="49"/>
      <c r="J43" s="50"/>
      <c r="K43" s="191"/>
      <c r="L43" s="191"/>
      <c r="M43" s="191"/>
      <c r="N43" s="191"/>
      <c r="O43" s="191"/>
      <c r="P43" s="196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9">
        <v>6</v>
      </c>
      <c r="C44" s="212">
        <f>+C39+$N$12</f>
        <v>8.1</v>
      </c>
      <c r="D44" s="189">
        <v>0.60499999999999998</v>
      </c>
      <c r="E44" s="189">
        <v>0.65500000000000003</v>
      </c>
      <c r="F44" s="36" t="s">
        <v>75</v>
      </c>
      <c r="G44" s="37">
        <v>0</v>
      </c>
      <c r="H44" s="38"/>
      <c r="I44" s="39"/>
      <c r="J44" s="40">
        <v>0.70499999999999996</v>
      </c>
      <c r="K44" s="189">
        <f t="shared" ref="K44" si="25">+IF(E44&lt;=0.12,(J46),(IF(E44&lt;0.16,((J45+2*J46+J47)/4),IF(E44&gt;=0.16,((J44+3*J45+2*J46+3*J47+J48)/10)))))</f>
        <v>1.0361</v>
      </c>
      <c r="L44" s="189">
        <f>ROUND(+(D39+D44)/2*(C44-C39),3)</f>
        <v>0.65500000000000003</v>
      </c>
      <c r="M44" s="189">
        <f t="shared" ref="M44" si="26">ROUND(+K44*L44,4)</f>
        <v>0.67859999999999998</v>
      </c>
      <c r="N44" s="192">
        <f t="shared" ref="N44" si="27">ROUND(+M44/$M$133*100,2)</f>
        <v>9.49</v>
      </c>
      <c r="O44" s="193"/>
      <c r="P44" s="194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0"/>
      <c r="C45" s="190"/>
      <c r="D45" s="190"/>
      <c r="E45" s="190"/>
      <c r="F45" s="41" t="s">
        <v>76</v>
      </c>
      <c r="G45" s="42">
        <f t="shared" ref="G45" si="28">IF(E44&lt;0.125,"NA",IF(0.125&lt;=E44,(0.2*E44)))</f>
        <v>0.13100000000000001</v>
      </c>
      <c r="H45" s="43"/>
      <c r="I45" s="44"/>
      <c r="J45" s="45">
        <v>0.89500000000000002</v>
      </c>
      <c r="K45" s="190"/>
      <c r="L45" s="190"/>
      <c r="M45" s="190"/>
      <c r="N45" s="190"/>
      <c r="O45" s="190"/>
      <c r="P45" s="195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0"/>
      <c r="C46" s="190"/>
      <c r="D46" s="190"/>
      <c r="E46" s="190"/>
      <c r="F46" s="41" t="s">
        <v>77</v>
      </c>
      <c r="G46" s="42">
        <f t="shared" ref="G46" si="29">+E44*0.4</f>
        <v>0.26200000000000001</v>
      </c>
      <c r="H46" s="43"/>
      <c r="I46" s="44"/>
      <c r="J46" s="45">
        <v>1.0629999999999999</v>
      </c>
      <c r="K46" s="190"/>
      <c r="L46" s="190"/>
      <c r="M46" s="190"/>
      <c r="N46" s="190"/>
      <c r="O46" s="190"/>
      <c r="P46" s="195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0"/>
      <c r="C47" s="190"/>
      <c r="D47" s="190"/>
      <c r="E47" s="190"/>
      <c r="F47" s="41" t="s">
        <v>78</v>
      </c>
      <c r="G47" s="42">
        <f t="shared" ref="G47" si="30">IF(E44&lt;0.125,"NA",IF(0.125&lt;=E44,(0.8*E44)))</f>
        <v>0.52400000000000002</v>
      </c>
      <c r="H47" s="43"/>
      <c r="I47" s="44"/>
      <c r="J47" s="45">
        <v>1.2390000000000001</v>
      </c>
      <c r="K47" s="190"/>
      <c r="L47" s="190"/>
      <c r="M47" s="190"/>
      <c r="N47" s="190"/>
      <c r="O47" s="190"/>
      <c r="P47" s="195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1"/>
      <c r="C48" s="191"/>
      <c r="D48" s="191"/>
      <c r="E48" s="191"/>
      <c r="F48" s="46" t="s">
        <v>79</v>
      </c>
      <c r="G48" s="47">
        <f t="shared" ref="G48" si="31">+E44</f>
        <v>0.65500000000000003</v>
      </c>
      <c r="H48" s="48"/>
      <c r="I48" s="49"/>
      <c r="J48" s="50">
        <v>1.1279999999999999</v>
      </c>
      <c r="K48" s="191"/>
      <c r="L48" s="191"/>
      <c r="M48" s="191"/>
      <c r="N48" s="191"/>
      <c r="O48" s="191"/>
      <c r="P48" s="196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9">
        <v>7</v>
      </c>
      <c r="C49" s="212">
        <f>+C44+$N$12</f>
        <v>9.1</v>
      </c>
      <c r="D49" s="189">
        <v>0.42499999999999999</v>
      </c>
      <c r="E49" s="189">
        <v>0.55500000000000005</v>
      </c>
      <c r="F49" s="36" t="s">
        <v>75</v>
      </c>
      <c r="G49" s="37">
        <v>0</v>
      </c>
      <c r="H49" s="38"/>
      <c r="I49" s="39"/>
      <c r="J49" s="40">
        <v>0.30499999999999999</v>
      </c>
      <c r="K49" s="189">
        <f t="shared" ref="K49" si="32">+IF(E49&lt;=0.12,(J51),(IF(E49&lt;0.16,((J50+2*J51+J52)/4),IF(E49&gt;=0.16,((J49+3*J50+2*J51+3*J52+J53)/10)))))</f>
        <v>0.61530000000000007</v>
      </c>
      <c r="L49" s="189">
        <f>ROUND(+(D44+D49)/2*(C49-C44),3)</f>
        <v>0.51500000000000001</v>
      </c>
      <c r="M49" s="189">
        <f t="shared" ref="M49" si="33">ROUND(+K49*L49,4)</f>
        <v>0.31690000000000002</v>
      </c>
      <c r="N49" s="192">
        <f t="shared" ref="N49" si="34">ROUND(+M49/$M$133*100,2)</f>
        <v>4.43</v>
      </c>
      <c r="O49" s="193"/>
      <c r="P49" s="194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0"/>
      <c r="C50" s="190"/>
      <c r="D50" s="190"/>
      <c r="E50" s="190"/>
      <c r="F50" s="41" t="s">
        <v>76</v>
      </c>
      <c r="G50" s="42">
        <f t="shared" ref="G50" si="35">IF(E49&lt;0.125,"NA",IF(0.125&lt;=E49,(0.2*E49)))</f>
        <v>0.11100000000000002</v>
      </c>
      <c r="H50" s="43"/>
      <c r="I50" s="44"/>
      <c r="J50" s="45">
        <v>0.63</v>
      </c>
      <c r="K50" s="190"/>
      <c r="L50" s="190"/>
      <c r="M50" s="190"/>
      <c r="N50" s="190"/>
      <c r="O50" s="190"/>
      <c r="P50" s="195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0"/>
      <c r="C51" s="190"/>
      <c r="D51" s="190"/>
      <c r="E51" s="190"/>
      <c r="F51" s="41" t="s">
        <v>77</v>
      </c>
      <c r="G51" s="42">
        <f t="shared" ref="G51" si="36">+E49*0.4</f>
        <v>0.22200000000000003</v>
      </c>
      <c r="H51" s="43"/>
      <c r="I51" s="44"/>
      <c r="J51" s="45">
        <v>0.623</v>
      </c>
      <c r="K51" s="190"/>
      <c r="L51" s="190"/>
      <c r="M51" s="190"/>
      <c r="N51" s="190"/>
      <c r="O51" s="190"/>
      <c r="P51" s="195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0"/>
      <c r="C52" s="190"/>
      <c r="D52" s="190"/>
      <c r="E52" s="190"/>
      <c r="F52" s="41" t="s">
        <v>78</v>
      </c>
      <c r="G52" s="42">
        <f t="shared" ref="G52" si="37">IF(E49&lt;0.125,"NA",IF(0.125&lt;=E49,(0.8*E49)))</f>
        <v>0.44400000000000006</v>
      </c>
      <c r="H52" s="43"/>
      <c r="I52" s="44"/>
      <c r="J52" s="45">
        <v>0.66800000000000004</v>
      </c>
      <c r="K52" s="190"/>
      <c r="L52" s="190"/>
      <c r="M52" s="190"/>
      <c r="N52" s="190"/>
      <c r="O52" s="190"/>
      <c r="P52" s="195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1"/>
      <c r="C53" s="191"/>
      <c r="D53" s="191"/>
      <c r="E53" s="191"/>
      <c r="F53" s="46" t="s">
        <v>79</v>
      </c>
      <c r="G53" s="47">
        <f t="shared" ref="G53" si="38">+E49</f>
        <v>0.55500000000000005</v>
      </c>
      <c r="H53" s="48"/>
      <c r="I53" s="49"/>
      <c r="J53" s="50">
        <v>0.70799999999999996</v>
      </c>
      <c r="K53" s="191"/>
      <c r="L53" s="191"/>
      <c r="M53" s="191"/>
      <c r="N53" s="191"/>
      <c r="O53" s="191"/>
      <c r="P53" s="196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9">
        <v>8</v>
      </c>
      <c r="C54" s="212">
        <f>+C49+$N$12</f>
        <v>10.1</v>
      </c>
      <c r="D54" s="189">
        <v>0.67500000000000004</v>
      </c>
      <c r="E54" s="189">
        <v>0.29499999999999998</v>
      </c>
      <c r="F54" s="36" t="s">
        <v>75</v>
      </c>
      <c r="G54" s="37">
        <v>0</v>
      </c>
      <c r="H54" s="38"/>
      <c r="I54" s="39"/>
      <c r="J54" s="40">
        <v>0.45400000000000001</v>
      </c>
      <c r="K54" s="189">
        <f t="shared" ref="K54" si="39">+IF(E54&lt;=0.12,(J56),(IF(E54&lt;0.16,((J55+2*J56+J57)/4),IF(E54&gt;=0.16,((J54+3*J55+2*J56+3*J57+J58)/10)))))</f>
        <v>0.54069999999999996</v>
      </c>
      <c r="L54" s="189">
        <f t="shared" ref="L54" si="40">ROUND(+(D49+D54)/2*(C54-C49),3)</f>
        <v>0.55000000000000004</v>
      </c>
      <c r="M54" s="189">
        <f t="shared" ref="M54" si="41">ROUND(+K54*L54,4)</f>
        <v>0.2974</v>
      </c>
      <c r="N54" s="192">
        <f t="shared" ref="N54" si="42">ROUND(+M54/$M$133*100,2)</f>
        <v>4.16</v>
      </c>
      <c r="O54" s="193"/>
      <c r="P54" s="194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0"/>
      <c r="C55" s="190"/>
      <c r="D55" s="190"/>
      <c r="E55" s="190"/>
      <c r="F55" s="41" t="s">
        <v>76</v>
      </c>
      <c r="G55" s="42">
        <f t="shared" ref="G55" si="43">IF(E54&lt;0.125,"NA",IF(0.125&lt;=E54,(0.2*E54)))</f>
        <v>5.8999999999999997E-2</v>
      </c>
      <c r="H55" s="43"/>
      <c r="I55" s="44"/>
      <c r="J55" s="45">
        <v>0.5</v>
      </c>
      <c r="K55" s="190"/>
      <c r="L55" s="190"/>
      <c r="M55" s="190"/>
      <c r="N55" s="190"/>
      <c r="O55" s="190"/>
      <c r="P55" s="195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0"/>
      <c r="C56" s="190"/>
      <c r="D56" s="190"/>
      <c r="E56" s="190"/>
      <c r="F56" s="41" t="s">
        <v>77</v>
      </c>
      <c r="G56" s="42">
        <f t="shared" ref="G56" si="44">+E54*0.4</f>
        <v>0.11799999999999999</v>
      </c>
      <c r="H56" s="43"/>
      <c r="I56" s="44"/>
      <c r="J56" s="45">
        <v>0.54900000000000004</v>
      </c>
      <c r="K56" s="190"/>
      <c r="L56" s="190"/>
      <c r="M56" s="190"/>
      <c r="N56" s="190"/>
      <c r="O56" s="190"/>
      <c r="P56" s="195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0"/>
      <c r="C57" s="190"/>
      <c r="D57" s="190"/>
      <c r="E57" s="190"/>
      <c r="F57" s="41" t="s">
        <v>78</v>
      </c>
      <c r="G57" s="42">
        <f t="shared" ref="G57" si="45">IF(E54&lt;0.125,"NA",IF(0.125&lt;=E54,(0.8*E54)))</f>
        <v>0.23599999999999999</v>
      </c>
      <c r="H57" s="43"/>
      <c r="I57" s="44"/>
      <c r="J57" s="45">
        <v>0.59</v>
      </c>
      <c r="K57" s="190"/>
      <c r="L57" s="190"/>
      <c r="M57" s="190"/>
      <c r="N57" s="190"/>
      <c r="O57" s="190"/>
      <c r="P57" s="195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1"/>
      <c r="C58" s="191"/>
      <c r="D58" s="191"/>
      <c r="E58" s="191"/>
      <c r="F58" s="46" t="s">
        <v>79</v>
      </c>
      <c r="G58" s="47">
        <f t="shared" ref="G58" si="46">+E54</f>
        <v>0.29499999999999998</v>
      </c>
      <c r="H58" s="48"/>
      <c r="I58" s="49"/>
      <c r="J58" s="50">
        <v>0.58499999999999996</v>
      </c>
      <c r="K58" s="191"/>
      <c r="L58" s="191"/>
      <c r="M58" s="191"/>
      <c r="N58" s="191"/>
      <c r="O58" s="191"/>
      <c r="P58" s="196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9">
        <v>9</v>
      </c>
      <c r="C59" s="212">
        <f>+C54+$N$12</f>
        <v>11.1</v>
      </c>
      <c r="D59" s="189">
        <v>0.495</v>
      </c>
      <c r="E59" s="189">
        <v>0.625</v>
      </c>
      <c r="F59" s="36" t="s">
        <v>75</v>
      </c>
      <c r="G59" s="37">
        <v>0</v>
      </c>
      <c r="H59" s="38"/>
      <c r="I59" s="39"/>
      <c r="J59" s="40">
        <v>0.56200000000000006</v>
      </c>
      <c r="K59" s="189">
        <f t="shared" ref="K59" si="47">+IF(E59&lt;=0.12,(J61),(IF(E59&lt;0.16,((J60+2*J61+J62)/4),IF(E59&gt;=0.16,((J59+3*J60+2*J61+3*J62+J63)/10)))))</f>
        <v>0.87109999999999999</v>
      </c>
      <c r="L59" s="189">
        <f>ROUND(+(D54+D59)/2*(C59-C54),3)</f>
        <v>0.58499999999999996</v>
      </c>
      <c r="M59" s="189">
        <f t="shared" ref="M59" si="48">ROUND(+K59*L59,4)</f>
        <v>0.50960000000000005</v>
      </c>
      <c r="N59" s="192">
        <f t="shared" ref="N59" si="49">ROUND(+M59/$M$133*100,2)</f>
        <v>7.13</v>
      </c>
      <c r="O59" s="193"/>
      <c r="P59" s="194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0"/>
      <c r="C60" s="190"/>
      <c r="D60" s="190"/>
      <c r="E60" s="190"/>
      <c r="F60" s="41" t="s">
        <v>76</v>
      </c>
      <c r="G60" s="42">
        <f t="shared" ref="G60" si="50">IF(E59&lt;0.125,"NA",IF(0.125&lt;=E59,(0.2*E59)))</f>
        <v>0.125</v>
      </c>
      <c r="H60" s="43"/>
      <c r="I60" s="44"/>
      <c r="J60" s="45">
        <v>0.70799999999999996</v>
      </c>
      <c r="K60" s="190"/>
      <c r="L60" s="190"/>
      <c r="M60" s="190"/>
      <c r="N60" s="190"/>
      <c r="O60" s="190"/>
      <c r="P60" s="195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0"/>
      <c r="C61" s="190"/>
      <c r="D61" s="190"/>
      <c r="E61" s="190"/>
      <c r="F61" s="41" t="s">
        <v>77</v>
      </c>
      <c r="G61" s="42">
        <f t="shared" ref="G61" si="51">+E59*0.4</f>
        <v>0.25</v>
      </c>
      <c r="H61" s="43"/>
      <c r="I61" s="44"/>
      <c r="J61" s="45">
        <v>0.745</v>
      </c>
      <c r="K61" s="190"/>
      <c r="L61" s="190"/>
      <c r="M61" s="190"/>
      <c r="N61" s="190"/>
      <c r="O61" s="190"/>
      <c r="P61" s="195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0"/>
      <c r="C62" s="190"/>
      <c r="D62" s="190"/>
      <c r="E62" s="190"/>
      <c r="F62" s="41" t="s">
        <v>78</v>
      </c>
      <c r="G62" s="42">
        <f t="shared" ref="G62" si="52">IF(E59&lt;0.125,"NA",IF(0.125&lt;=E59,(0.8*E59)))</f>
        <v>0.5</v>
      </c>
      <c r="H62" s="43"/>
      <c r="I62" s="44"/>
      <c r="J62" s="45">
        <v>1.101</v>
      </c>
      <c r="K62" s="190"/>
      <c r="L62" s="190"/>
      <c r="M62" s="190"/>
      <c r="N62" s="190"/>
      <c r="O62" s="190"/>
      <c r="P62" s="195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1"/>
      <c r="C63" s="191"/>
      <c r="D63" s="191"/>
      <c r="E63" s="191"/>
      <c r="F63" s="46" t="s">
        <v>79</v>
      </c>
      <c r="G63" s="47">
        <f t="shared" ref="G63" si="53">+E59</f>
        <v>0.625</v>
      </c>
      <c r="H63" s="48"/>
      <c r="I63" s="49"/>
      <c r="J63" s="50">
        <v>1.232</v>
      </c>
      <c r="K63" s="191"/>
      <c r="L63" s="191"/>
      <c r="M63" s="191"/>
      <c r="N63" s="191"/>
      <c r="O63" s="191"/>
      <c r="P63" s="196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9">
        <v>10</v>
      </c>
      <c r="C64" s="212">
        <f>+C59+$N$12</f>
        <v>12.1</v>
      </c>
      <c r="D64" s="189">
        <v>0.48499999999999999</v>
      </c>
      <c r="E64" s="189">
        <v>0.435</v>
      </c>
      <c r="F64" s="36" t="s">
        <v>75</v>
      </c>
      <c r="G64" s="37">
        <v>0</v>
      </c>
      <c r="H64" s="38"/>
      <c r="I64" s="39"/>
      <c r="J64" s="40">
        <v>0.75600000000000001</v>
      </c>
      <c r="K64" s="189">
        <f>+IF(E64&lt;=0.12,(J66),(IF(E64&lt;0.16,((J65+2*J66+J67)/4),IF(E64&gt;=0.16,((J64+3*J65+2*J66+3*J67+J68)/10)))))</f>
        <v>1.1274</v>
      </c>
      <c r="L64" s="189">
        <f>ROUND(+(D59+D64)/2*(C64-C59),3)</f>
        <v>0.49</v>
      </c>
      <c r="M64" s="189">
        <f>ROUND(+K64*L64,4)</f>
        <v>0.5524</v>
      </c>
      <c r="N64" s="192">
        <f>ROUND(+M64/$M$133*100,2)</f>
        <v>7.73</v>
      </c>
      <c r="O64" s="193"/>
      <c r="P64" s="194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0"/>
      <c r="C65" s="190"/>
      <c r="D65" s="190"/>
      <c r="E65" s="190"/>
      <c r="F65" s="41" t="s">
        <v>76</v>
      </c>
      <c r="G65" s="42">
        <f>IF(E64&lt;0.125,"NA",IF(0.125&lt;=E64,(0.2*E64)))</f>
        <v>8.7000000000000008E-2</v>
      </c>
      <c r="H65" s="43"/>
      <c r="I65" s="44"/>
      <c r="J65" s="45">
        <v>0.81399999999999995</v>
      </c>
      <c r="K65" s="190"/>
      <c r="L65" s="190"/>
      <c r="M65" s="190"/>
      <c r="N65" s="190"/>
      <c r="O65" s="190"/>
      <c r="P65" s="195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0"/>
      <c r="C66" s="190"/>
      <c r="D66" s="190"/>
      <c r="E66" s="190"/>
      <c r="F66" s="41" t="s">
        <v>77</v>
      </c>
      <c r="G66" s="42">
        <f>+E64*0.4</f>
        <v>0.17400000000000002</v>
      </c>
      <c r="H66" s="43"/>
      <c r="I66" s="44"/>
      <c r="J66" s="45">
        <v>1.276</v>
      </c>
      <c r="K66" s="190"/>
      <c r="L66" s="190"/>
      <c r="M66" s="190"/>
      <c r="N66" s="190"/>
      <c r="O66" s="190"/>
      <c r="P66" s="195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0"/>
      <c r="C67" s="190"/>
      <c r="D67" s="190"/>
      <c r="E67" s="190"/>
      <c r="F67" s="41" t="s">
        <v>78</v>
      </c>
      <c r="G67" s="42">
        <f>IF(E64&lt;0.125,"NA",IF(0.125&lt;=E64,(0.8*E64)))</f>
        <v>0.34800000000000003</v>
      </c>
      <c r="H67" s="43"/>
      <c r="I67" s="44"/>
      <c r="J67" s="45">
        <v>1.4</v>
      </c>
      <c r="K67" s="190"/>
      <c r="L67" s="190"/>
      <c r="M67" s="190"/>
      <c r="N67" s="190"/>
      <c r="O67" s="190"/>
      <c r="P67" s="195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1"/>
      <c r="C68" s="191"/>
      <c r="D68" s="191"/>
      <c r="E68" s="191"/>
      <c r="F68" s="46" t="s">
        <v>79</v>
      </c>
      <c r="G68" s="47">
        <f>+E64</f>
        <v>0.435</v>
      </c>
      <c r="H68" s="48"/>
      <c r="I68" s="49"/>
      <c r="J68" s="50">
        <v>1.3240000000000001</v>
      </c>
      <c r="K68" s="191"/>
      <c r="L68" s="191"/>
      <c r="M68" s="191"/>
      <c r="N68" s="191"/>
      <c r="O68" s="191"/>
      <c r="P68" s="196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9">
        <v>11</v>
      </c>
      <c r="C69" s="212">
        <f>+C64+$N$12</f>
        <v>13.1</v>
      </c>
      <c r="D69" s="189">
        <v>0.35499999999999998</v>
      </c>
      <c r="E69" s="189">
        <v>0.39500000000000002</v>
      </c>
      <c r="F69" s="36" t="s">
        <v>75</v>
      </c>
      <c r="G69" s="37">
        <v>0</v>
      </c>
      <c r="H69" s="38"/>
      <c r="I69" s="39"/>
      <c r="J69" s="40">
        <v>0.626</v>
      </c>
      <c r="K69" s="189">
        <f t="shared" ref="K69" si="54">+IF(E69&lt;=0.12,(J71),(IF(E69&lt;0.16,((J70+2*J71+J72)/4),IF(E69&gt;=0.16,((J69+3*J70+2*J71+3*J72+J73)/10)))))</f>
        <v>0.9234</v>
      </c>
      <c r="L69" s="189">
        <f>ROUND(+(D64+D69)/2*(C69-C64),3)</f>
        <v>0.42</v>
      </c>
      <c r="M69" s="189">
        <f t="shared" ref="M69" si="55">ROUND(+K69*L69,4)</f>
        <v>0.38779999999999998</v>
      </c>
      <c r="N69" s="192">
        <f t="shared" ref="N69" si="56">ROUND(+M69/$M$133*100,2)</f>
        <v>5.42</v>
      </c>
      <c r="O69" s="193"/>
      <c r="P69" s="194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0"/>
      <c r="C70" s="190"/>
      <c r="D70" s="190"/>
      <c r="E70" s="190"/>
      <c r="F70" s="41" t="s">
        <v>76</v>
      </c>
      <c r="G70" s="42">
        <f t="shared" ref="G70" si="57">IF(E69&lt;0.125,"NA",IF(0.125&lt;=E69,(0.2*E69)))</f>
        <v>7.9000000000000015E-2</v>
      </c>
      <c r="H70" s="43"/>
      <c r="I70" s="44"/>
      <c r="J70" s="45">
        <v>0.78900000000000003</v>
      </c>
      <c r="K70" s="190"/>
      <c r="L70" s="190"/>
      <c r="M70" s="190"/>
      <c r="N70" s="190"/>
      <c r="O70" s="190"/>
      <c r="P70" s="195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0"/>
      <c r="C71" s="190"/>
      <c r="D71" s="190"/>
      <c r="E71" s="190"/>
      <c r="F71" s="41" t="s">
        <v>77</v>
      </c>
      <c r="G71" s="42">
        <f t="shared" ref="G71" si="58">+E69*0.4</f>
        <v>0.15800000000000003</v>
      </c>
      <c r="H71" s="43"/>
      <c r="I71" s="44"/>
      <c r="J71" s="45">
        <v>0.92400000000000004</v>
      </c>
      <c r="K71" s="190"/>
      <c r="L71" s="190"/>
      <c r="M71" s="190"/>
      <c r="N71" s="190"/>
      <c r="O71" s="190"/>
      <c r="P71" s="195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0"/>
      <c r="C72" s="190"/>
      <c r="D72" s="190"/>
      <c r="E72" s="190"/>
      <c r="F72" s="41" t="s">
        <v>78</v>
      </c>
      <c r="G72" s="42">
        <f t="shared" ref="G72" si="59">IF(E69&lt;0.125,"NA",IF(0.125&lt;=E69,(0.8*E69)))</f>
        <v>0.31600000000000006</v>
      </c>
      <c r="H72" s="43"/>
      <c r="I72" s="44"/>
      <c r="J72" s="45">
        <v>1.085</v>
      </c>
      <c r="K72" s="190"/>
      <c r="L72" s="190"/>
      <c r="M72" s="190"/>
      <c r="N72" s="190"/>
      <c r="O72" s="190"/>
      <c r="P72" s="195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1"/>
      <c r="C73" s="191"/>
      <c r="D73" s="191"/>
      <c r="E73" s="191"/>
      <c r="F73" s="46" t="s">
        <v>79</v>
      </c>
      <c r="G73" s="47">
        <f t="shared" ref="G73" si="60">+E69</f>
        <v>0.39500000000000002</v>
      </c>
      <c r="H73" s="48"/>
      <c r="I73" s="49"/>
      <c r="J73" s="50">
        <v>1.1379999999999999</v>
      </c>
      <c r="K73" s="191"/>
      <c r="L73" s="191"/>
      <c r="M73" s="191"/>
      <c r="N73" s="191"/>
      <c r="O73" s="191"/>
      <c r="P73" s="196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9">
        <v>12</v>
      </c>
      <c r="C74" s="212">
        <f>+C69+$N$12</f>
        <v>14.1</v>
      </c>
      <c r="D74" s="189">
        <v>0.48299999999999998</v>
      </c>
      <c r="E74" s="189">
        <v>0.28499999999999998</v>
      </c>
      <c r="F74" s="36" t="s">
        <v>75</v>
      </c>
      <c r="G74" s="37">
        <v>0</v>
      </c>
      <c r="H74" s="38"/>
      <c r="I74" s="39"/>
      <c r="J74" s="40">
        <v>0.254</v>
      </c>
      <c r="K74" s="189">
        <f t="shared" ref="K74" si="61">+IF(E74&lt;=0.12,(J76),(IF(E74&lt;0.16,((J75+2*J76+J77)/4),IF(E74&gt;=0.16,((J74+3*J75+2*J76+3*J77+J78)/10)))))</f>
        <v>1.0692999999999999</v>
      </c>
      <c r="L74" s="189">
        <f>ROUND(+(D69+D74)/2*(C74-C69),3)</f>
        <v>0.41899999999999998</v>
      </c>
      <c r="M74" s="189">
        <f t="shared" ref="M74" si="62">ROUND(+K74*L74,4)</f>
        <v>0.44800000000000001</v>
      </c>
      <c r="N74" s="192">
        <f t="shared" ref="N74" si="63">ROUND(+M74/$M$133*100,2)</f>
        <v>6.27</v>
      </c>
      <c r="O74" s="193"/>
      <c r="P74" s="194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0"/>
      <c r="C75" s="190"/>
      <c r="D75" s="190"/>
      <c r="E75" s="190"/>
      <c r="F75" s="41" t="s">
        <v>76</v>
      </c>
      <c r="G75" s="42">
        <f t="shared" ref="G75" si="64">IF(E74&lt;0.125,"NA",IF(0.125&lt;=E74,(0.2*E74)))</f>
        <v>5.6999999999999995E-2</v>
      </c>
      <c r="H75" s="43"/>
      <c r="I75" s="44"/>
      <c r="J75" s="45">
        <v>0.92100000000000004</v>
      </c>
      <c r="K75" s="190"/>
      <c r="L75" s="190"/>
      <c r="M75" s="190"/>
      <c r="N75" s="190"/>
      <c r="O75" s="190"/>
      <c r="P75" s="195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0"/>
      <c r="C76" s="190"/>
      <c r="D76" s="190"/>
      <c r="E76" s="190"/>
      <c r="F76" s="41" t="s">
        <v>77</v>
      </c>
      <c r="G76" s="42">
        <f t="shared" ref="G76" si="65">+E74*0.4</f>
        <v>0.11399999999999999</v>
      </c>
      <c r="H76" s="43"/>
      <c r="I76" s="44"/>
      <c r="J76" s="45">
        <v>1.026</v>
      </c>
      <c r="K76" s="190"/>
      <c r="L76" s="190"/>
      <c r="M76" s="190"/>
      <c r="N76" s="190"/>
      <c r="O76" s="190"/>
      <c r="P76" s="195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0"/>
      <c r="C77" s="190"/>
      <c r="D77" s="190"/>
      <c r="E77" s="190"/>
      <c r="F77" s="41" t="s">
        <v>78</v>
      </c>
      <c r="G77" s="42">
        <f t="shared" ref="G77" si="66">IF(E74&lt;0.125,"NA",IF(0.125&lt;=E74,(0.8*E74)))</f>
        <v>0.22799999999999998</v>
      </c>
      <c r="H77" s="43"/>
      <c r="I77" s="44"/>
      <c r="J77" s="45">
        <v>1.3959999999999999</v>
      </c>
      <c r="K77" s="190"/>
      <c r="L77" s="190"/>
      <c r="M77" s="190"/>
      <c r="N77" s="190"/>
      <c r="O77" s="190"/>
      <c r="P77" s="195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1"/>
      <c r="C78" s="191"/>
      <c r="D78" s="191"/>
      <c r="E78" s="191"/>
      <c r="F78" s="46" t="s">
        <v>79</v>
      </c>
      <c r="G78" s="47">
        <f t="shared" ref="G78" si="67">+E74</f>
        <v>0.28499999999999998</v>
      </c>
      <c r="H78" s="48"/>
      <c r="I78" s="49"/>
      <c r="J78" s="50">
        <v>1.4359999999999999</v>
      </c>
      <c r="K78" s="191"/>
      <c r="L78" s="191"/>
      <c r="M78" s="191"/>
      <c r="N78" s="191"/>
      <c r="O78" s="191"/>
      <c r="P78" s="196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9">
        <v>13</v>
      </c>
      <c r="C79" s="212">
        <f>+C74+$N$12</f>
        <v>15.1</v>
      </c>
      <c r="D79" s="189">
        <v>0.51500000000000001</v>
      </c>
      <c r="E79" s="189">
        <v>0.35499999999999998</v>
      </c>
      <c r="F79" s="36" t="s">
        <v>75</v>
      </c>
      <c r="G79" s="37">
        <v>0</v>
      </c>
      <c r="H79" s="38"/>
      <c r="I79" s="39"/>
      <c r="J79" s="40">
        <v>0.61099999999999999</v>
      </c>
      <c r="K79" s="189">
        <f t="shared" ref="K79" si="68">+IF(E79&lt;=0.12,(J81),(IF(E79&lt;0.16,((J80+2*J81+J82)/4),IF(E79&gt;=0.16,((J79+3*J80+2*J81+3*J82+J83)/10)))))</f>
        <v>0.84659999999999991</v>
      </c>
      <c r="L79" s="189">
        <f>ROUND(+(D74+D79)/2*(C79-C74),3)</f>
        <v>0.499</v>
      </c>
      <c r="M79" s="189">
        <f t="shared" ref="M79" si="69">ROUND(+K79*L79,4)</f>
        <v>0.42249999999999999</v>
      </c>
      <c r="N79" s="192">
        <f t="shared" ref="N79" si="70">ROUND(+M79/$M$133*100,2)</f>
        <v>5.91</v>
      </c>
      <c r="O79" s="193"/>
      <c r="P79" s="194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0"/>
      <c r="C80" s="190"/>
      <c r="D80" s="190"/>
      <c r="E80" s="190"/>
      <c r="F80" s="41" t="s">
        <v>76</v>
      </c>
      <c r="G80" s="42">
        <f t="shared" ref="G80" si="71">IF(E79&lt;0.125,"NA",IF(0.125&lt;=E79,(0.2*E79)))</f>
        <v>7.0999999999999994E-2</v>
      </c>
      <c r="H80" s="43"/>
      <c r="I80" s="44"/>
      <c r="J80" s="45">
        <v>0.72399999999999998</v>
      </c>
      <c r="K80" s="190"/>
      <c r="L80" s="190"/>
      <c r="M80" s="190"/>
      <c r="N80" s="190"/>
      <c r="O80" s="190"/>
      <c r="P80" s="195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0"/>
      <c r="C81" s="190"/>
      <c r="D81" s="190"/>
      <c r="E81" s="190"/>
      <c r="F81" s="41" t="s">
        <v>77</v>
      </c>
      <c r="G81" s="42">
        <f t="shared" ref="G81" si="72">+E79*0.4</f>
        <v>0.14199999999999999</v>
      </c>
      <c r="H81" s="43"/>
      <c r="I81" s="44"/>
      <c r="J81" s="45">
        <v>0.83899999999999997</v>
      </c>
      <c r="K81" s="190"/>
      <c r="L81" s="190"/>
      <c r="M81" s="190"/>
      <c r="N81" s="190"/>
      <c r="O81" s="190"/>
      <c r="P81" s="195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0"/>
      <c r="C82" s="190"/>
      <c r="D82" s="190"/>
      <c r="E82" s="190"/>
      <c r="F82" s="41" t="s">
        <v>78</v>
      </c>
      <c r="G82" s="42">
        <f t="shared" ref="G82" si="73">IF(E79&lt;0.125,"NA",IF(0.125&lt;=E79,(0.8*E79)))</f>
        <v>0.28399999999999997</v>
      </c>
      <c r="H82" s="43"/>
      <c r="I82" s="44"/>
      <c r="J82" s="45">
        <v>1.0109999999999999</v>
      </c>
      <c r="K82" s="190"/>
      <c r="L82" s="190"/>
      <c r="M82" s="190"/>
      <c r="N82" s="190"/>
      <c r="O82" s="190"/>
      <c r="P82" s="195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1"/>
      <c r="C83" s="191"/>
      <c r="D83" s="191"/>
      <c r="E83" s="191"/>
      <c r="F83" s="46" t="s">
        <v>79</v>
      </c>
      <c r="G83" s="47">
        <f t="shared" ref="G83" si="74">+E79</f>
        <v>0.35499999999999998</v>
      </c>
      <c r="H83" s="48"/>
      <c r="I83" s="49"/>
      <c r="J83" s="50">
        <v>0.97199999999999998</v>
      </c>
      <c r="K83" s="191"/>
      <c r="L83" s="191"/>
      <c r="M83" s="191"/>
      <c r="N83" s="191"/>
      <c r="O83" s="191"/>
      <c r="P83" s="196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9">
        <v>14</v>
      </c>
      <c r="C84" s="212">
        <f>+C79+$N$12</f>
        <v>16.100000000000001</v>
      </c>
      <c r="D84" s="189">
        <v>0.317</v>
      </c>
      <c r="E84" s="189">
        <v>0.44400000000000001</v>
      </c>
      <c r="F84" s="36" t="s">
        <v>75</v>
      </c>
      <c r="G84" s="37">
        <v>0</v>
      </c>
      <c r="H84" s="38"/>
      <c r="I84" s="39"/>
      <c r="J84" s="40">
        <v>0.61899999999999999</v>
      </c>
      <c r="K84" s="189">
        <f t="shared" ref="K84" si="75">+IF(E84&lt;=0.12,(J86),(IF(E84&lt;0.16,((J85+2*J86+J87)/4),IF(E84&gt;=0.16,((J84+3*J85+2*J86+3*J87+J88)/10)))))</f>
        <v>0.86259999999999992</v>
      </c>
      <c r="L84" s="189">
        <f>ROUND(+(D79+D84)/2*(C84-C79),3)</f>
        <v>0.41599999999999998</v>
      </c>
      <c r="M84" s="189">
        <f t="shared" ref="M84" si="76">ROUND(+K84*L84,4)</f>
        <v>0.35880000000000001</v>
      </c>
      <c r="N84" s="192">
        <f t="shared" ref="N84" si="77">ROUND(+M84/$M$133*100,2)</f>
        <v>5.0199999999999996</v>
      </c>
      <c r="O84" s="193"/>
      <c r="P84" s="194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0"/>
      <c r="C85" s="190"/>
      <c r="D85" s="190"/>
      <c r="E85" s="190"/>
      <c r="F85" s="41" t="s">
        <v>76</v>
      </c>
      <c r="G85" s="42">
        <f t="shared" ref="G85" si="78">IF(E84&lt;0.125,"NA",IF(0.125&lt;=E84,(0.2*E84)))</f>
        <v>8.8800000000000004E-2</v>
      </c>
      <c r="H85" s="43"/>
      <c r="I85" s="44"/>
      <c r="J85" s="45">
        <v>0.84099999999999997</v>
      </c>
      <c r="K85" s="190"/>
      <c r="L85" s="190"/>
      <c r="M85" s="190"/>
      <c r="N85" s="190"/>
      <c r="O85" s="190"/>
      <c r="P85" s="195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0"/>
      <c r="C86" s="190"/>
      <c r="D86" s="190"/>
      <c r="E86" s="190"/>
      <c r="F86" s="41" t="s">
        <v>77</v>
      </c>
      <c r="G86" s="42">
        <f t="shared" ref="G86" si="79">+E84*0.4</f>
        <v>0.17760000000000001</v>
      </c>
      <c r="H86" s="43"/>
      <c r="I86" s="44"/>
      <c r="J86" s="45">
        <v>0.82</v>
      </c>
      <c r="K86" s="190"/>
      <c r="L86" s="190"/>
      <c r="M86" s="190"/>
      <c r="N86" s="190"/>
      <c r="O86" s="190"/>
      <c r="P86" s="195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0"/>
      <c r="C87" s="190"/>
      <c r="D87" s="190"/>
      <c r="E87" s="190"/>
      <c r="F87" s="41" t="s">
        <v>78</v>
      </c>
      <c r="G87" s="42">
        <f t="shared" ref="G87" si="80">IF(E84&lt;0.125,"NA",IF(0.125&lt;=E84,(0.8*E84)))</f>
        <v>0.35520000000000002</v>
      </c>
      <c r="H87" s="43"/>
      <c r="I87" s="44"/>
      <c r="J87" s="45">
        <v>0.97</v>
      </c>
      <c r="K87" s="190"/>
      <c r="L87" s="190"/>
      <c r="M87" s="190"/>
      <c r="N87" s="190"/>
      <c r="O87" s="190"/>
      <c r="P87" s="195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1"/>
      <c r="C88" s="191"/>
      <c r="D88" s="191"/>
      <c r="E88" s="191"/>
      <c r="F88" s="46" t="s">
        <v>79</v>
      </c>
      <c r="G88" s="47">
        <f t="shared" ref="G88" si="81">+E84</f>
        <v>0.44400000000000001</v>
      </c>
      <c r="H88" s="48"/>
      <c r="I88" s="49"/>
      <c r="J88" s="50">
        <v>0.93400000000000005</v>
      </c>
      <c r="K88" s="191"/>
      <c r="L88" s="191"/>
      <c r="M88" s="191"/>
      <c r="N88" s="191"/>
      <c r="O88" s="191"/>
      <c r="P88" s="196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09">
        <v>15</v>
      </c>
      <c r="C89" s="212">
        <f>+C84+$N$12</f>
        <v>17.100000000000001</v>
      </c>
      <c r="D89" s="189">
        <v>0.29499999999999998</v>
      </c>
      <c r="E89" s="189">
        <v>0.29499999999999998</v>
      </c>
      <c r="F89" s="36" t="s">
        <v>75</v>
      </c>
      <c r="G89" s="37">
        <v>0</v>
      </c>
      <c r="H89" s="38"/>
      <c r="I89" s="39"/>
      <c r="J89" s="40">
        <v>0.129</v>
      </c>
      <c r="K89" s="189">
        <f t="shared" ref="K89" si="82">+IF(E89&lt;=0.12,(J91),(IF(E89&lt;0.16,((J90+2*J91+J92)/4),IF(E89&gt;=0.16,((J89+3*J90+2*J91+3*J92+J93)/10)))))</f>
        <v>0.25169999999999998</v>
      </c>
      <c r="L89" s="189">
        <f>ROUND(+(D84+D89)/2*(C89-C84),3)</f>
        <v>0.30599999999999999</v>
      </c>
      <c r="M89" s="189">
        <f t="shared" ref="M89" si="83">ROUND(+K89*L89,4)</f>
        <v>7.6999999999999999E-2</v>
      </c>
      <c r="N89" s="192">
        <f t="shared" ref="N89" si="84">ROUND(+M89/$M$133*100,2)</f>
        <v>1.08</v>
      </c>
      <c r="O89" s="193"/>
      <c r="P89" s="194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0"/>
      <c r="C90" s="190"/>
      <c r="D90" s="190"/>
      <c r="E90" s="190"/>
      <c r="F90" s="41" t="s">
        <v>76</v>
      </c>
      <c r="G90" s="42">
        <f t="shared" ref="G90" si="85">IF(E89&lt;0.125,"NA",IF(0.125&lt;=E89,(0.2*E89)))</f>
        <v>5.8999999999999997E-2</v>
      </c>
      <c r="H90" s="43"/>
      <c r="I90" s="44"/>
      <c r="J90" s="45">
        <v>0.21099999999999999</v>
      </c>
      <c r="K90" s="190"/>
      <c r="L90" s="190"/>
      <c r="M90" s="190"/>
      <c r="N90" s="190"/>
      <c r="O90" s="190"/>
      <c r="P90" s="195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0"/>
      <c r="C91" s="190"/>
      <c r="D91" s="190"/>
      <c r="E91" s="190"/>
      <c r="F91" s="41" t="s">
        <v>77</v>
      </c>
      <c r="G91" s="42">
        <f t="shared" ref="G91" si="86">+E89*0.4</f>
        <v>0.11799999999999999</v>
      </c>
      <c r="H91" s="43"/>
      <c r="I91" s="44"/>
      <c r="J91" s="45">
        <v>0.28899999999999998</v>
      </c>
      <c r="K91" s="190"/>
      <c r="L91" s="190"/>
      <c r="M91" s="190"/>
      <c r="N91" s="190"/>
      <c r="O91" s="190"/>
      <c r="P91" s="195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0"/>
      <c r="C92" s="190"/>
      <c r="D92" s="190"/>
      <c r="E92" s="190"/>
      <c r="F92" s="41" t="s">
        <v>78</v>
      </c>
      <c r="G92" s="42">
        <f t="shared" ref="G92" si="87">IF(E89&lt;0.125,"NA",IF(0.125&lt;=E89,(0.8*E89)))</f>
        <v>0.23599999999999999</v>
      </c>
      <c r="H92" s="43"/>
      <c r="I92" s="44"/>
      <c r="J92" s="45">
        <v>0.308</v>
      </c>
      <c r="K92" s="190"/>
      <c r="L92" s="190"/>
      <c r="M92" s="190"/>
      <c r="N92" s="190"/>
      <c r="O92" s="190"/>
      <c r="P92" s="195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1"/>
      <c r="C93" s="191"/>
      <c r="D93" s="191"/>
      <c r="E93" s="191"/>
      <c r="F93" s="46" t="s">
        <v>79</v>
      </c>
      <c r="G93" s="47">
        <f t="shared" ref="G93" si="88">+E89</f>
        <v>0.29499999999999998</v>
      </c>
      <c r="H93" s="48"/>
      <c r="I93" s="49"/>
      <c r="J93" s="50">
        <v>0.253</v>
      </c>
      <c r="K93" s="191"/>
      <c r="L93" s="191"/>
      <c r="M93" s="191"/>
      <c r="N93" s="191"/>
      <c r="O93" s="191"/>
      <c r="P93" s="196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9">
        <v>16</v>
      </c>
      <c r="C94" s="212">
        <f>+C89+$N$12</f>
        <v>18.100000000000001</v>
      </c>
      <c r="D94" s="189">
        <v>0.27500000000000002</v>
      </c>
      <c r="E94" s="189">
        <v>0.315</v>
      </c>
      <c r="F94" s="36" t="s">
        <v>75</v>
      </c>
      <c r="G94" s="37">
        <v>0</v>
      </c>
      <c r="H94" s="38"/>
      <c r="I94" s="39"/>
      <c r="J94" s="40">
        <v>0.30399999999999999</v>
      </c>
      <c r="K94" s="189">
        <f t="shared" ref="K94" si="89">+IF(E94&lt;=0.12,(J96),(IF(E94&lt;0.16,((J95+2*J96+J97)/4),IF(E94&gt;=0.16,((J94+3*J95+2*J96+3*J97+J98)/10)))))</f>
        <v>0.56169999999999998</v>
      </c>
      <c r="L94" s="189">
        <f>ROUND(+(D89+D94)/2*(C94-C89),3)</f>
        <v>0.28499999999999998</v>
      </c>
      <c r="M94" s="189">
        <f t="shared" ref="M94" si="90">ROUND(+K94*L94,4)</f>
        <v>0.16009999999999999</v>
      </c>
      <c r="N94" s="192">
        <f t="shared" ref="N94" si="91">ROUND(+M94/$M$133*100,2)</f>
        <v>2.2400000000000002</v>
      </c>
      <c r="O94" s="193"/>
      <c r="P94" s="194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0"/>
      <c r="C95" s="190"/>
      <c r="D95" s="190"/>
      <c r="E95" s="190"/>
      <c r="F95" s="41" t="s">
        <v>76</v>
      </c>
      <c r="G95" s="42">
        <f t="shared" ref="G95" si="92">IF(E94&lt;0.125,"NA",IF(0.125&lt;=E94,(0.2*E94)))</f>
        <v>6.3E-2</v>
      </c>
      <c r="H95" s="43"/>
      <c r="I95" s="44"/>
      <c r="J95" s="45">
        <v>0.435</v>
      </c>
      <c r="K95" s="190"/>
      <c r="L95" s="190"/>
      <c r="M95" s="190"/>
      <c r="N95" s="190"/>
      <c r="O95" s="190"/>
      <c r="P95" s="195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0"/>
      <c r="C96" s="190"/>
      <c r="D96" s="190"/>
      <c r="E96" s="190"/>
      <c r="F96" s="41" t="s">
        <v>77</v>
      </c>
      <c r="G96" s="42">
        <f t="shared" ref="G96" si="93">+E94*0.4</f>
        <v>0.126</v>
      </c>
      <c r="H96" s="43"/>
      <c r="I96" s="44"/>
      <c r="J96" s="45">
        <v>0.54100000000000004</v>
      </c>
      <c r="K96" s="190"/>
      <c r="L96" s="190"/>
      <c r="M96" s="190"/>
      <c r="N96" s="190"/>
      <c r="O96" s="190"/>
      <c r="P96" s="195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0"/>
      <c r="C97" s="190"/>
      <c r="D97" s="190"/>
      <c r="E97" s="190"/>
      <c r="F97" s="41" t="s">
        <v>78</v>
      </c>
      <c r="G97" s="42">
        <f t="shared" ref="G97" si="94">IF(E94&lt;0.125,"NA",IF(0.125&lt;=E94,(0.8*E94)))</f>
        <v>0.252</v>
      </c>
      <c r="H97" s="43"/>
      <c r="I97" s="44"/>
      <c r="J97" s="45">
        <v>0.73</v>
      </c>
      <c r="K97" s="190"/>
      <c r="L97" s="190"/>
      <c r="M97" s="190"/>
      <c r="N97" s="190"/>
      <c r="O97" s="190"/>
      <c r="P97" s="195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1"/>
      <c r="C98" s="191"/>
      <c r="D98" s="191"/>
      <c r="E98" s="191"/>
      <c r="F98" s="46" t="s">
        <v>79</v>
      </c>
      <c r="G98" s="47">
        <f t="shared" ref="G98" si="95">+E94</f>
        <v>0.315</v>
      </c>
      <c r="H98" s="48"/>
      <c r="I98" s="49"/>
      <c r="J98" s="50">
        <v>0.73599999999999999</v>
      </c>
      <c r="K98" s="191"/>
      <c r="L98" s="191"/>
      <c r="M98" s="191"/>
      <c r="N98" s="191"/>
      <c r="O98" s="191"/>
      <c r="P98" s="196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9">
        <v>17</v>
      </c>
      <c r="C99" s="212">
        <f>+C94+$N$12</f>
        <v>19.100000000000001</v>
      </c>
      <c r="D99" s="189">
        <v>0.245</v>
      </c>
      <c r="E99" s="189">
        <v>0.26500000000000001</v>
      </c>
      <c r="F99" s="36" t="s">
        <v>75</v>
      </c>
      <c r="G99" s="37">
        <v>0</v>
      </c>
      <c r="H99" s="38"/>
      <c r="I99" s="39"/>
      <c r="J99" s="40">
        <v>0.5</v>
      </c>
      <c r="K99" s="189">
        <f t="shared" ref="K99" si="96">+IF(E99&lt;=0.12,(J101),(IF(E99&lt;0.16,((J100+2*J101+J102)/4),IF(E99&gt;=0.16,((J99+3*J100+2*J101+3*J102+J103)/10)))))</f>
        <v>0.68740000000000001</v>
      </c>
      <c r="L99" s="189">
        <f>ROUND(+(D94+D99)/2*(C99-C94),3)</f>
        <v>0.26</v>
      </c>
      <c r="M99" s="189">
        <f t="shared" ref="M99" si="97">ROUND(+K99*L99,4)</f>
        <v>0.1787</v>
      </c>
      <c r="N99" s="192">
        <f t="shared" ref="N99" si="98">ROUND(+M99/$M$133*100,2)</f>
        <v>2.5</v>
      </c>
      <c r="O99" s="193"/>
      <c r="P99" s="194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0"/>
      <c r="C100" s="190"/>
      <c r="D100" s="190"/>
      <c r="E100" s="190"/>
      <c r="F100" s="41" t="s">
        <v>76</v>
      </c>
      <c r="G100" s="42">
        <f t="shared" ref="G100" si="99">IF(E99&lt;0.125,"NA",IF(0.125&lt;=E99,(0.2*E99)))</f>
        <v>5.3000000000000005E-2</v>
      </c>
      <c r="H100" s="43"/>
      <c r="I100" s="44"/>
      <c r="J100" s="45">
        <v>0.63600000000000001</v>
      </c>
      <c r="K100" s="190"/>
      <c r="L100" s="190"/>
      <c r="M100" s="190"/>
      <c r="N100" s="190"/>
      <c r="O100" s="190"/>
      <c r="P100" s="195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0"/>
      <c r="C101" s="190"/>
      <c r="D101" s="190"/>
      <c r="E101" s="190"/>
      <c r="F101" s="41" t="s">
        <v>77</v>
      </c>
      <c r="G101" s="42">
        <f t="shared" ref="G101" si="100">+E99*0.4</f>
        <v>0.10600000000000001</v>
      </c>
      <c r="H101" s="43"/>
      <c r="I101" s="44"/>
      <c r="J101" s="45">
        <v>0.71599999999999997</v>
      </c>
      <c r="K101" s="190"/>
      <c r="L101" s="190"/>
      <c r="M101" s="190"/>
      <c r="N101" s="190"/>
      <c r="O101" s="190"/>
      <c r="P101" s="195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0"/>
      <c r="C102" s="190"/>
      <c r="D102" s="190"/>
      <c r="E102" s="190"/>
      <c r="F102" s="41" t="s">
        <v>78</v>
      </c>
      <c r="G102" s="42">
        <f t="shared" ref="G102" si="101">IF(E99&lt;0.125,"NA",IF(0.125&lt;=E99,(0.8*E99)))</f>
        <v>0.21200000000000002</v>
      </c>
      <c r="H102" s="43"/>
      <c r="I102" s="44"/>
      <c r="J102" s="45">
        <v>0.77</v>
      </c>
      <c r="K102" s="190"/>
      <c r="L102" s="190"/>
      <c r="M102" s="190"/>
      <c r="N102" s="190"/>
      <c r="O102" s="190"/>
      <c r="P102" s="195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1"/>
      <c r="C103" s="191"/>
      <c r="D103" s="191"/>
      <c r="E103" s="191"/>
      <c r="F103" s="46" t="s">
        <v>79</v>
      </c>
      <c r="G103" s="47">
        <f t="shared" ref="G103" si="102">+E99</f>
        <v>0.26500000000000001</v>
      </c>
      <c r="H103" s="48"/>
      <c r="I103" s="49"/>
      <c r="J103" s="50">
        <v>0.72399999999999998</v>
      </c>
      <c r="K103" s="191"/>
      <c r="L103" s="191"/>
      <c r="M103" s="191"/>
      <c r="N103" s="191"/>
      <c r="O103" s="191"/>
      <c r="P103" s="196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09">
        <v>18</v>
      </c>
      <c r="C104" s="212">
        <f>+C99+$N$12</f>
        <v>20.100000000000001</v>
      </c>
      <c r="D104" s="189">
        <v>0.20499999999999999</v>
      </c>
      <c r="E104" s="189">
        <v>0.23499999999999999</v>
      </c>
      <c r="F104" s="36" t="s">
        <v>75</v>
      </c>
      <c r="G104" s="37">
        <v>0</v>
      </c>
      <c r="H104" s="38"/>
      <c r="I104" s="39"/>
      <c r="J104" s="40">
        <v>0.19500000000000001</v>
      </c>
      <c r="K104" s="189">
        <f t="shared" ref="K104" si="103">+IF(E104&lt;=0.12,(J106),(IF(E104&lt;0.16,((J105+2*J106+J107)/4),IF(E104&gt;=0.16,((J104+3*J105+2*J106+3*J107+J108)/10)))))</f>
        <v>0.42709999999999998</v>
      </c>
      <c r="L104" s="189">
        <f>ROUND(+(D99+D104)/2*(C104-C99),3)</f>
        <v>0.22500000000000001</v>
      </c>
      <c r="M104" s="189">
        <f t="shared" ref="M104" si="104">ROUND(+K104*L104,4)</f>
        <v>9.6100000000000005E-2</v>
      </c>
      <c r="N104" s="192">
        <f t="shared" ref="N104" si="105">ROUND(+M104/$M$133*100,2)</f>
        <v>1.34</v>
      </c>
      <c r="O104" s="193"/>
      <c r="P104" s="194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0"/>
      <c r="C105" s="190"/>
      <c r="D105" s="190"/>
      <c r="E105" s="190"/>
      <c r="F105" s="41" t="s">
        <v>76</v>
      </c>
      <c r="G105" s="42">
        <f t="shared" ref="G105" si="106">IF(E104&lt;0.125,"NA",IF(0.125&lt;=E104,(0.2*E104)))</f>
        <v>4.7E-2</v>
      </c>
      <c r="H105" s="43"/>
      <c r="I105" s="44"/>
      <c r="J105" s="45">
        <v>0.29899999999999999</v>
      </c>
      <c r="K105" s="190"/>
      <c r="L105" s="190"/>
      <c r="M105" s="190"/>
      <c r="N105" s="190"/>
      <c r="O105" s="190"/>
      <c r="P105" s="195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0"/>
      <c r="C106" s="190"/>
      <c r="D106" s="190"/>
      <c r="E106" s="190"/>
      <c r="F106" s="41" t="s">
        <v>77</v>
      </c>
      <c r="G106" s="42">
        <f t="shared" ref="G106" si="107">+E104*0.4</f>
        <v>9.4E-2</v>
      </c>
      <c r="H106" s="43"/>
      <c r="I106" s="44"/>
      <c r="J106" s="45">
        <v>0.40300000000000002</v>
      </c>
      <c r="K106" s="190"/>
      <c r="L106" s="190"/>
      <c r="M106" s="190"/>
      <c r="N106" s="190"/>
      <c r="O106" s="190"/>
      <c r="P106" s="195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0"/>
      <c r="C107" s="190"/>
      <c r="D107" s="190"/>
      <c r="E107" s="190"/>
      <c r="F107" s="41" t="s">
        <v>78</v>
      </c>
      <c r="G107" s="42">
        <f t="shared" ref="G107" si="108">IF(E104&lt;0.125,"NA",IF(0.125&lt;=E104,(0.8*E104)))</f>
        <v>0.188</v>
      </c>
      <c r="H107" s="43"/>
      <c r="I107" s="44"/>
      <c r="J107" s="45">
        <v>0.60399999999999998</v>
      </c>
      <c r="K107" s="190"/>
      <c r="L107" s="190"/>
      <c r="M107" s="190"/>
      <c r="N107" s="190"/>
      <c r="O107" s="190"/>
      <c r="P107" s="195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1"/>
      <c r="C108" s="191"/>
      <c r="D108" s="191"/>
      <c r="E108" s="191"/>
      <c r="F108" s="46" t="s">
        <v>79</v>
      </c>
      <c r="G108" s="47">
        <f t="shared" ref="G108" si="109">+E104</f>
        <v>0.23499999999999999</v>
      </c>
      <c r="H108" s="48"/>
      <c r="I108" s="49"/>
      <c r="J108" s="50">
        <v>0.56100000000000005</v>
      </c>
      <c r="K108" s="191"/>
      <c r="L108" s="191"/>
      <c r="M108" s="191"/>
      <c r="N108" s="191"/>
      <c r="O108" s="191"/>
      <c r="P108" s="196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09">
        <v>19</v>
      </c>
      <c r="C109" s="212">
        <f>+C104+1.25</f>
        <v>21.35</v>
      </c>
      <c r="D109" s="189">
        <v>6.5000000000000002E-2</v>
      </c>
      <c r="E109" s="189">
        <v>0.20499999999999999</v>
      </c>
      <c r="F109" s="36" t="s">
        <v>75</v>
      </c>
      <c r="G109" s="37">
        <v>0</v>
      </c>
      <c r="H109" s="38"/>
      <c r="I109" s="39"/>
      <c r="J109" s="40">
        <v>0.126</v>
      </c>
      <c r="K109" s="189">
        <f t="shared" ref="K109" si="110">+IF(E109&lt;=0.12,(J111),(IF(E109&lt;0.16,((J110+2*J111+J112)/4),IF(E109&gt;=0.16,((J109+3*J110+2*J111+3*J112+J113)/10)))))</f>
        <v>0.32989999999999997</v>
      </c>
      <c r="L109" s="189">
        <f>ROUND(+(D104+D109)/2*(C109-C104),3)</f>
        <v>0.16900000000000001</v>
      </c>
      <c r="M109" s="189">
        <f t="shared" ref="M109" si="111">ROUND(+K109*L109,4)</f>
        <v>5.5800000000000002E-2</v>
      </c>
      <c r="N109" s="192">
        <f t="shared" ref="N109" si="112">ROUND(+M109/$M$133*100,2)</f>
        <v>0.78</v>
      </c>
      <c r="O109" s="193"/>
      <c r="P109" s="194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10"/>
      <c r="C110" s="190"/>
      <c r="D110" s="190"/>
      <c r="E110" s="190"/>
      <c r="F110" s="41" t="s">
        <v>76</v>
      </c>
      <c r="G110" s="42">
        <f t="shared" ref="G110" si="113">IF(E109&lt;0.125,"NA",IF(0.125&lt;=E109,(0.2*E109)))</f>
        <v>4.1000000000000002E-2</v>
      </c>
      <c r="H110" s="43"/>
      <c r="I110" s="44"/>
      <c r="J110" s="45">
        <v>0.188</v>
      </c>
      <c r="K110" s="190"/>
      <c r="L110" s="190"/>
      <c r="M110" s="190"/>
      <c r="N110" s="190"/>
      <c r="O110" s="190"/>
      <c r="P110" s="195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10"/>
      <c r="C111" s="190"/>
      <c r="D111" s="190"/>
      <c r="E111" s="190"/>
      <c r="F111" s="41" t="s">
        <v>77</v>
      </c>
      <c r="G111" s="42">
        <f t="shared" ref="G111" si="114">+E109*0.4</f>
        <v>8.2000000000000003E-2</v>
      </c>
      <c r="H111" s="43"/>
      <c r="I111" s="44"/>
      <c r="J111" s="45">
        <v>0.30499999999999999</v>
      </c>
      <c r="K111" s="190"/>
      <c r="L111" s="190"/>
      <c r="M111" s="190"/>
      <c r="N111" s="190"/>
      <c r="O111" s="190"/>
      <c r="P111" s="195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10"/>
      <c r="C112" s="190"/>
      <c r="D112" s="190"/>
      <c r="E112" s="190"/>
      <c r="F112" s="41" t="s">
        <v>78</v>
      </c>
      <c r="G112" s="42">
        <f t="shared" ref="G112" si="115">IF(E109&lt;0.125,"NA",IF(0.125&lt;=E109,(0.8*E109)))</f>
        <v>0.16400000000000001</v>
      </c>
      <c r="H112" s="43"/>
      <c r="I112" s="44"/>
      <c r="J112" s="45">
        <v>0.501</v>
      </c>
      <c r="K112" s="190"/>
      <c r="L112" s="190"/>
      <c r="M112" s="190"/>
      <c r="N112" s="190"/>
      <c r="O112" s="190"/>
      <c r="P112" s="195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11"/>
      <c r="C113" s="191"/>
      <c r="D113" s="191"/>
      <c r="E113" s="191"/>
      <c r="F113" s="46" t="s">
        <v>79</v>
      </c>
      <c r="G113" s="47">
        <f t="shared" ref="G113" si="116">+E109</f>
        <v>0.20499999999999999</v>
      </c>
      <c r="H113" s="48"/>
      <c r="I113" s="49"/>
      <c r="J113" s="50">
        <v>0.496</v>
      </c>
      <c r="K113" s="191"/>
      <c r="L113" s="191"/>
      <c r="M113" s="191"/>
      <c r="N113" s="191"/>
      <c r="O113" s="191"/>
      <c r="P113" s="196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" customFormat="1" ht="13.5" customHeight="1" x14ac:dyDescent="0.2">
      <c r="B114" s="197" t="s">
        <v>28</v>
      </c>
      <c r="C114" s="200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2"/>
    </row>
    <row r="115" spans="1:26" s="3" customFormat="1" ht="14.1" customHeight="1" x14ac:dyDescent="0.2">
      <c r="B115" s="198"/>
      <c r="C115" s="203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5"/>
    </row>
    <row r="116" spans="1:26" s="3" customFormat="1" ht="14.1" customHeight="1" x14ac:dyDescent="0.2">
      <c r="B116" s="198"/>
      <c r="C116" s="203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5"/>
    </row>
    <row r="117" spans="1:26" s="3" customFormat="1" ht="14.1" customHeight="1" x14ac:dyDescent="0.2">
      <c r="B117" s="198"/>
      <c r="C117" s="203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5"/>
    </row>
    <row r="118" spans="1:26" s="3" customFormat="1" ht="14.1" customHeight="1" x14ac:dyDescent="0.2">
      <c r="B118" s="198"/>
      <c r="C118" s="203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5"/>
    </row>
    <row r="119" spans="1:26" s="3" customFormat="1" ht="14.1" customHeight="1" thickBot="1" x14ac:dyDescent="0.25">
      <c r="B119" s="199"/>
      <c r="C119" s="206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8"/>
    </row>
    <row r="120" spans="1:26" s="3" customFormat="1" ht="28.5" customHeight="1" thickBot="1" x14ac:dyDescent="0.25">
      <c r="A120" s="51"/>
      <c r="B120" s="52" t="s">
        <v>80</v>
      </c>
      <c r="C120" s="176" t="s">
        <v>81</v>
      </c>
      <c r="D120" s="176"/>
      <c r="E120" s="176"/>
      <c r="F120" s="176"/>
      <c r="G120" s="176"/>
      <c r="H120" s="177"/>
      <c r="I120" s="178"/>
      <c r="J120" s="52" t="s">
        <v>82</v>
      </c>
      <c r="K120" s="176" t="s">
        <v>83</v>
      </c>
      <c r="L120" s="176"/>
      <c r="M120" s="176"/>
      <c r="N120" s="176"/>
      <c r="O120" s="176"/>
      <c r="P120" s="177"/>
    </row>
    <row r="121" spans="1:26" s="3" customFormat="1" ht="28.5" customHeight="1" thickBot="1" x14ac:dyDescent="0.25">
      <c r="B121" s="53" t="s">
        <v>84</v>
      </c>
      <c r="C121" s="180" t="s">
        <v>85</v>
      </c>
      <c r="D121" s="180"/>
      <c r="E121" s="180"/>
      <c r="F121" s="180"/>
      <c r="G121" s="180"/>
      <c r="H121" s="181"/>
      <c r="I121" s="179"/>
      <c r="J121" s="53" t="s">
        <v>86</v>
      </c>
      <c r="K121" s="180" t="s">
        <v>87</v>
      </c>
      <c r="L121" s="180"/>
      <c r="M121" s="180"/>
      <c r="N121" s="180"/>
      <c r="O121" s="180"/>
      <c r="P121" s="181"/>
    </row>
    <row r="122" spans="1:26" s="91" customFormat="1" ht="13.5" customHeight="1" x14ac:dyDescent="0.25">
      <c r="A122" s="54"/>
      <c r="B122" s="182">
        <v>5</v>
      </c>
      <c r="C122" s="185">
        <f>+C34</f>
        <v>6.1</v>
      </c>
      <c r="D122" s="187">
        <f>+D34</f>
        <v>0.75700000000000001</v>
      </c>
      <c r="E122" s="187">
        <f>+E39</f>
        <v>0.79800000000000004</v>
      </c>
      <c r="F122" s="55" t="s">
        <v>75</v>
      </c>
      <c r="G122" s="55">
        <v>0.01</v>
      </c>
      <c r="H122" s="56"/>
      <c r="I122" s="57"/>
      <c r="J122" s="58">
        <v>0.83199999999999996</v>
      </c>
      <c r="K122" s="188">
        <f>+AVERAGE(J122:J132)</f>
        <v>1.2413636363636364</v>
      </c>
      <c r="L122" s="167">
        <f>ROUND(+(D122+D127)/2*(C127-C122),3)</f>
        <v>0.73099999999999998</v>
      </c>
      <c r="M122" s="170">
        <f>ROUND(+K122*L122,4)</f>
        <v>0.90739999999999998</v>
      </c>
      <c r="N122" s="167">
        <f>ROUND(+M122/$M$133*100,2)</f>
        <v>12.69</v>
      </c>
      <c r="O122" s="167"/>
      <c r="P122" s="171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91" customFormat="1" ht="13.5" customHeight="1" x14ac:dyDescent="0.25">
      <c r="A123" s="54"/>
      <c r="B123" s="183"/>
      <c r="C123" s="168"/>
      <c r="D123" s="168"/>
      <c r="E123" s="168"/>
      <c r="F123" s="60" t="s">
        <v>88</v>
      </c>
      <c r="G123" s="61">
        <f>+E122*0.1</f>
        <v>7.980000000000001E-2</v>
      </c>
      <c r="H123" s="62"/>
      <c r="I123" s="63"/>
      <c r="J123" s="64">
        <v>0.82399999999999995</v>
      </c>
      <c r="K123" s="168"/>
      <c r="L123" s="168"/>
      <c r="M123" s="168"/>
      <c r="N123" s="168"/>
      <c r="O123" s="168"/>
      <c r="P123" s="172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s="91" customFormat="1" ht="13.5" customHeight="1" x14ac:dyDescent="0.25">
      <c r="A124" s="54"/>
      <c r="B124" s="183"/>
      <c r="C124" s="168"/>
      <c r="D124" s="168"/>
      <c r="E124" s="168"/>
      <c r="F124" s="60" t="s">
        <v>89</v>
      </c>
      <c r="G124" s="61">
        <f>+E122*0.2</f>
        <v>0.15960000000000002</v>
      </c>
      <c r="H124" s="62"/>
      <c r="I124" s="63"/>
      <c r="J124" s="64">
        <v>0.82299999999999995</v>
      </c>
      <c r="K124" s="168"/>
      <c r="L124" s="168"/>
      <c r="M124" s="168"/>
      <c r="N124" s="168"/>
      <c r="O124" s="168"/>
      <c r="P124" s="172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s="91" customFormat="1" ht="13.5" customHeight="1" x14ac:dyDescent="0.25">
      <c r="A125" s="54"/>
      <c r="B125" s="183"/>
      <c r="C125" s="168"/>
      <c r="D125" s="168"/>
      <c r="E125" s="168"/>
      <c r="F125" s="60" t="s">
        <v>90</v>
      </c>
      <c r="G125" s="61">
        <f>+E122*0.3</f>
        <v>0.2394</v>
      </c>
      <c r="H125" s="62"/>
      <c r="I125" s="63"/>
      <c r="J125" s="64">
        <v>1.0289999999999999</v>
      </c>
      <c r="K125" s="168"/>
      <c r="L125" s="168"/>
      <c r="M125" s="168"/>
      <c r="N125" s="168"/>
      <c r="O125" s="168"/>
      <c r="P125" s="172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s="91" customFormat="1" ht="13.5" customHeight="1" x14ac:dyDescent="0.25">
      <c r="A126" s="54"/>
      <c r="B126" s="183"/>
      <c r="C126" s="186"/>
      <c r="D126" s="186"/>
      <c r="E126" s="168"/>
      <c r="F126" s="60" t="s">
        <v>91</v>
      </c>
      <c r="G126" s="61">
        <f>+E122*0.4</f>
        <v>0.31920000000000004</v>
      </c>
      <c r="H126" s="62"/>
      <c r="I126" s="63"/>
      <c r="J126" s="64">
        <v>1.264</v>
      </c>
      <c r="K126" s="168"/>
      <c r="L126" s="168"/>
      <c r="M126" s="168"/>
      <c r="N126" s="168"/>
      <c r="O126" s="168"/>
      <c r="P126" s="172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s="91" customFormat="1" ht="13.5" customHeight="1" x14ac:dyDescent="0.25">
      <c r="A127" s="54"/>
      <c r="B127" s="183"/>
      <c r="C127" s="174">
        <f>+C39</f>
        <v>7.1</v>
      </c>
      <c r="D127" s="175">
        <f>+D39</f>
        <v>0.70499999999999996</v>
      </c>
      <c r="E127" s="168"/>
      <c r="F127" s="60" t="s">
        <v>29</v>
      </c>
      <c r="G127" s="61">
        <f>+E122*0.5</f>
        <v>0.39900000000000002</v>
      </c>
      <c r="H127" s="62"/>
      <c r="I127" s="63"/>
      <c r="J127" s="64">
        <v>1.3959999999999999</v>
      </c>
      <c r="K127" s="168"/>
      <c r="L127" s="168"/>
      <c r="M127" s="168"/>
      <c r="N127" s="168"/>
      <c r="O127" s="168"/>
      <c r="P127" s="172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91" customFormat="1" ht="13.5" customHeight="1" x14ac:dyDescent="0.25">
      <c r="A128" s="54"/>
      <c r="B128" s="183"/>
      <c r="C128" s="168"/>
      <c r="D128" s="168"/>
      <c r="E128" s="168"/>
      <c r="F128" s="60" t="s">
        <v>92</v>
      </c>
      <c r="G128" s="61">
        <f>+E122*0.6</f>
        <v>0.4788</v>
      </c>
      <c r="H128" s="62"/>
      <c r="I128" s="63"/>
      <c r="J128" s="64">
        <v>1.458</v>
      </c>
      <c r="K128" s="168"/>
      <c r="L128" s="168"/>
      <c r="M128" s="168"/>
      <c r="N128" s="168"/>
      <c r="O128" s="168"/>
      <c r="P128" s="172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s="91" customFormat="1" ht="13.5" customHeight="1" x14ac:dyDescent="0.25">
      <c r="A129" s="54"/>
      <c r="B129" s="183"/>
      <c r="C129" s="168"/>
      <c r="D129" s="168"/>
      <c r="E129" s="168"/>
      <c r="F129" s="60" t="s">
        <v>93</v>
      </c>
      <c r="G129" s="61">
        <f>+E122*0.7</f>
        <v>0.55859999999999999</v>
      </c>
      <c r="H129" s="62"/>
      <c r="I129" s="63"/>
      <c r="J129" s="64">
        <v>1.492</v>
      </c>
      <c r="K129" s="168"/>
      <c r="L129" s="168"/>
      <c r="M129" s="168"/>
      <c r="N129" s="168"/>
      <c r="O129" s="168"/>
      <c r="P129" s="172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s="91" customFormat="1" ht="13.5" customHeight="1" x14ac:dyDescent="0.25">
      <c r="A130" s="54"/>
      <c r="B130" s="183"/>
      <c r="C130" s="168"/>
      <c r="D130" s="168"/>
      <c r="E130" s="168"/>
      <c r="F130" s="60" t="s">
        <v>94</v>
      </c>
      <c r="G130" s="61">
        <f>+E122*0.8</f>
        <v>0.63840000000000008</v>
      </c>
      <c r="H130" s="62"/>
      <c r="I130" s="63"/>
      <c r="J130" s="64">
        <v>1.464</v>
      </c>
      <c r="K130" s="168"/>
      <c r="L130" s="168"/>
      <c r="M130" s="168"/>
      <c r="N130" s="168"/>
      <c r="O130" s="168"/>
      <c r="P130" s="172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s="91" customFormat="1" ht="13.5" customHeight="1" x14ac:dyDescent="0.25">
      <c r="A131" s="54"/>
      <c r="B131" s="183"/>
      <c r="C131" s="168"/>
      <c r="D131" s="168"/>
      <c r="E131" s="168"/>
      <c r="F131" s="60" t="s">
        <v>95</v>
      </c>
      <c r="G131" s="61">
        <f>+E122*0.9</f>
        <v>0.71820000000000006</v>
      </c>
      <c r="H131" s="62"/>
      <c r="I131" s="63"/>
      <c r="J131" s="64">
        <v>1.536</v>
      </c>
      <c r="K131" s="168"/>
      <c r="L131" s="168"/>
      <c r="M131" s="168"/>
      <c r="N131" s="168"/>
      <c r="O131" s="168"/>
      <c r="P131" s="172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s="91" customFormat="1" ht="15.75" thickBot="1" x14ac:dyDescent="0.3">
      <c r="A132" s="54"/>
      <c r="B132" s="184"/>
      <c r="C132" s="169"/>
      <c r="D132" s="169"/>
      <c r="E132" s="169"/>
      <c r="F132" s="65" t="s">
        <v>30</v>
      </c>
      <c r="G132" s="65">
        <f>+E122</f>
        <v>0.79800000000000004</v>
      </c>
      <c r="H132" s="66"/>
      <c r="I132" s="67"/>
      <c r="J132" s="68">
        <v>1.5369999999999999</v>
      </c>
      <c r="K132" s="169"/>
      <c r="L132" s="169"/>
      <c r="M132" s="169"/>
      <c r="N132" s="169"/>
      <c r="O132" s="169"/>
      <c r="P132" s="173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s="3" customFormat="1" ht="12.75" x14ac:dyDescent="0.2">
      <c r="A133" s="8"/>
      <c r="B133" s="155" t="s">
        <v>103</v>
      </c>
      <c r="C133" s="155"/>
      <c r="D133" s="155"/>
      <c r="E133" s="155"/>
      <c r="F133" s="155"/>
      <c r="G133" s="155"/>
      <c r="H133" s="155"/>
      <c r="I133" s="155"/>
      <c r="J133" s="155"/>
      <c r="K133" s="13">
        <f>ROUND(+M133/L133,3)</f>
        <v>0.81299999999999994</v>
      </c>
      <c r="L133" s="12">
        <f>SUM(L19:L132)</f>
        <v>8.7940000000000005</v>
      </c>
      <c r="M133" s="11">
        <f>SUM(M19:M132)</f>
        <v>7.1501999999999999</v>
      </c>
      <c r="N133" s="9">
        <f>ROUND(SUM(N19:N132),0)</f>
        <v>100</v>
      </c>
      <c r="O133" s="157" t="s">
        <v>31</v>
      </c>
      <c r="P133" s="159"/>
    </row>
    <row r="134" spans="1:26" s="3" customFormat="1" ht="15" customHeight="1" thickBot="1" x14ac:dyDescent="0.25">
      <c r="A134" s="8"/>
      <c r="B134" s="156"/>
      <c r="C134" s="156"/>
      <c r="D134" s="156"/>
      <c r="E134" s="156"/>
      <c r="F134" s="156"/>
      <c r="G134" s="156"/>
      <c r="H134" s="156"/>
      <c r="I134" s="156"/>
      <c r="J134" s="156"/>
      <c r="K134" s="10" t="s">
        <v>32</v>
      </c>
      <c r="L134" s="10" t="s">
        <v>48</v>
      </c>
      <c r="M134" s="10" t="s">
        <v>100</v>
      </c>
      <c r="N134" s="10" t="s">
        <v>33</v>
      </c>
      <c r="O134" s="158"/>
      <c r="P134" s="160"/>
    </row>
    <row r="135" spans="1:26" ht="15" customHeight="1" thickBot="1" x14ac:dyDescent="0.3">
      <c r="A135" s="93"/>
      <c r="B135" s="161" t="s">
        <v>96</v>
      </c>
      <c r="C135" s="162"/>
      <c r="D135" s="162"/>
      <c r="E135" s="162"/>
      <c r="F135" s="163"/>
      <c r="G135" s="161" t="s">
        <v>97</v>
      </c>
      <c r="H135" s="162"/>
      <c r="I135" s="162"/>
      <c r="J135" s="162"/>
      <c r="K135" s="163"/>
      <c r="L135" s="164" t="s">
        <v>49</v>
      </c>
      <c r="M135" s="165"/>
      <c r="N135" s="165"/>
      <c r="O135" s="165"/>
      <c r="P135" s="166"/>
    </row>
    <row r="136" spans="1:26" ht="15" customHeight="1" x14ac:dyDescent="0.25">
      <c r="A136" s="93"/>
      <c r="B136" s="125"/>
      <c r="C136" s="126"/>
      <c r="D136" s="126"/>
      <c r="E136" s="126"/>
      <c r="F136" s="127"/>
      <c r="G136" s="125"/>
      <c r="H136" s="126"/>
      <c r="I136" s="126"/>
      <c r="J136" s="126"/>
      <c r="K136" s="127"/>
      <c r="L136" s="134" t="s">
        <v>98</v>
      </c>
      <c r="M136" s="135"/>
      <c r="N136" s="135"/>
      <c r="O136" s="136">
        <f>+AVERAGE(E18:E113)</f>
        <v>0.44615789473684214</v>
      </c>
      <c r="P136" s="137"/>
    </row>
    <row r="137" spans="1:26" ht="15" customHeight="1" thickBot="1" x14ac:dyDescent="0.3">
      <c r="A137" s="93"/>
      <c r="B137" s="128"/>
      <c r="C137" s="129"/>
      <c r="D137" s="129"/>
      <c r="E137" s="129"/>
      <c r="F137" s="130"/>
      <c r="G137" s="128"/>
      <c r="H137" s="129"/>
      <c r="I137" s="129"/>
      <c r="J137" s="129"/>
      <c r="K137" s="130"/>
      <c r="L137" s="138" t="s">
        <v>99</v>
      </c>
      <c r="M137" s="139"/>
      <c r="N137" s="139"/>
      <c r="O137" s="140">
        <f>MAX(E18:E113)</f>
        <v>0.79800000000000004</v>
      </c>
      <c r="P137" s="141"/>
    </row>
    <row r="138" spans="1:26" ht="18.600000000000001" customHeight="1" x14ac:dyDescent="0.25">
      <c r="A138" s="94"/>
      <c r="B138" s="128"/>
      <c r="C138" s="129"/>
      <c r="D138" s="129"/>
      <c r="E138" s="129"/>
      <c r="F138" s="130"/>
      <c r="G138" s="128"/>
      <c r="H138" s="129"/>
      <c r="I138" s="129"/>
      <c r="J138" s="129"/>
      <c r="K138" s="130"/>
      <c r="L138" s="142"/>
      <c r="M138" s="143"/>
      <c r="N138" s="143"/>
      <c r="O138" s="143"/>
      <c r="P138" s="144"/>
    </row>
    <row r="139" spans="1:26" ht="42" customHeight="1" x14ac:dyDescent="0.25">
      <c r="A139" s="95"/>
      <c r="B139" s="128"/>
      <c r="C139" s="129"/>
      <c r="D139" s="129"/>
      <c r="E139" s="129"/>
      <c r="F139" s="130"/>
      <c r="G139" s="128"/>
      <c r="H139" s="129"/>
      <c r="I139" s="129"/>
      <c r="J139" s="129"/>
      <c r="K139" s="130"/>
      <c r="L139" s="145"/>
      <c r="M139" s="146"/>
      <c r="N139" s="146"/>
      <c r="O139" s="146"/>
      <c r="P139" s="147"/>
    </row>
    <row r="140" spans="1:26" ht="15" customHeight="1" thickBot="1" x14ac:dyDescent="0.3">
      <c r="A140" s="93"/>
      <c r="B140" s="128"/>
      <c r="C140" s="129"/>
      <c r="D140" s="129"/>
      <c r="E140" s="129"/>
      <c r="F140" s="130"/>
      <c r="G140" s="128"/>
      <c r="H140" s="129"/>
      <c r="I140" s="129"/>
      <c r="J140" s="129"/>
      <c r="K140" s="130"/>
      <c r="L140" s="148"/>
      <c r="M140" s="149"/>
      <c r="N140" s="149"/>
      <c r="O140" s="149"/>
      <c r="P140" s="150"/>
    </row>
    <row r="141" spans="1:26" ht="22.5" customHeight="1" thickBot="1" x14ac:dyDescent="0.3">
      <c r="A141" s="93"/>
      <c r="B141" s="128"/>
      <c r="C141" s="129"/>
      <c r="D141" s="129"/>
      <c r="E141" s="129"/>
      <c r="F141" s="130"/>
      <c r="G141" s="128"/>
      <c r="H141" s="129"/>
      <c r="I141" s="129"/>
      <c r="J141" s="129"/>
      <c r="K141" s="130"/>
      <c r="L141" s="151" t="s">
        <v>34</v>
      </c>
      <c r="M141" s="152"/>
      <c r="N141" s="152"/>
      <c r="O141" s="152"/>
      <c r="P141" s="90">
        <v>4.55</v>
      </c>
    </row>
    <row r="142" spans="1:26" ht="32.25" customHeight="1" thickBot="1" x14ac:dyDescent="0.3">
      <c r="A142" s="93"/>
      <c r="B142" s="131"/>
      <c r="C142" s="132"/>
      <c r="D142" s="132"/>
      <c r="E142" s="132"/>
      <c r="F142" s="133"/>
      <c r="G142" s="131"/>
      <c r="H142" s="132"/>
      <c r="I142" s="132"/>
      <c r="J142" s="132"/>
      <c r="K142" s="133"/>
      <c r="L142" s="153" t="s">
        <v>102</v>
      </c>
      <c r="M142" s="154"/>
      <c r="N142" s="154"/>
      <c r="O142" s="154"/>
      <c r="P142" s="90">
        <v>0.41</v>
      </c>
    </row>
    <row r="143" spans="1:26" ht="23.45" customHeight="1" thickBot="1" x14ac:dyDescent="0.3">
      <c r="A143" s="5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</row>
    <row r="144" spans="1:26" ht="15.75" thickBot="1" x14ac:dyDescent="0.3">
      <c r="A144" s="114" t="s">
        <v>35</v>
      </c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6"/>
    </row>
    <row r="145" spans="1:16" ht="159" customHeight="1" thickBot="1" x14ac:dyDescent="0.3">
      <c r="A145" s="4"/>
      <c r="B145" s="117"/>
      <c r="C145" s="118"/>
      <c r="D145" s="118"/>
      <c r="E145" s="118"/>
      <c r="F145" s="119"/>
      <c r="G145" s="117"/>
      <c r="H145" s="118"/>
      <c r="I145" s="118"/>
      <c r="J145" s="118"/>
      <c r="K145" s="119"/>
      <c r="L145" s="117"/>
      <c r="M145" s="118"/>
      <c r="N145" s="118"/>
      <c r="O145" s="118"/>
      <c r="P145" s="120"/>
    </row>
    <row r="146" spans="1:16" ht="21.75" customHeight="1" thickBot="1" x14ac:dyDescent="0.3">
      <c r="A146" s="4"/>
      <c r="B146" s="121" t="s">
        <v>110</v>
      </c>
      <c r="C146" s="122"/>
      <c r="D146" s="122"/>
      <c r="E146" s="122"/>
      <c r="F146" s="123"/>
      <c r="G146" s="121" t="s">
        <v>111</v>
      </c>
      <c r="H146" s="122"/>
      <c r="I146" s="122"/>
      <c r="J146" s="122"/>
      <c r="K146" s="123"/>
      <c r="L146" s="121" t="s">
        <v>111</v>
      </c>
      <c r="M146" s="122"/>
      <c r="N146" s="122"/>
      <c r="O146" s="122"/>
      <c r="P146" s="124"/>
    </row>
    <row r="147" spans="1:16" s="7" customFormat="1" ht="16.899999999999999" customHeight="1" thickBot="1" x14ac:dyDescent="0.3">
      <c r="A147" s="6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9"/>
    </row>
    <row r="148" spans="1:16" s="3" customFormat="1" ht="15.75" customHeight="1" thickBot="1" x14ac:dyDescent="0.25">
      <c r="A148" s="110" t="s">
        <v>36</v>
      </c>
      <c r="B148" s="111"/>
      <c r="C148" s="111"/>
      <c r="D148" s="111" t="s">
        <v>112</v>
      </c>
      <c r="E148" s="111"/>
      <c r="F148" s="111"/>
      <c r="G148" s="111"/>
      <c r="H148" s="111"/>
      <c r="I148" s="111"/>
      <c r="J148" s="111" t="s">
        <v>37</v>
      </c>
      <c r="K148" s="111"/>
      <c r="L148" s="111"/>
      <c r="M148" s="111"/>
      <c r="N148" s="111"/>
      <c r="O148" s="111"/>
      <c r="P148" s="112"/>
    </row>
  </sheetData>
  <mergeCells count="29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9:M113"/>
    <mergeCell ref="N109:N113"/>
    <mergeCell ref="O109:O113"/>
    <mergeCell ref="P109:P113"/>
    <mergeCell ref="B114:B119"/>
    <mergeCell ref="C114:P119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C120:H120"/>
    <mergeCell ref="I120:I121"/>
    <mergeCell ref="K120:P120"/>
    <mergeCell ref="C121:H121"/>
    <mergeCell ref="K121:P121"/>
    <mergeCell ref="B122:B132"/>
    <mergeCell ref="C122:C126"/>
    <mergeCell ref="D122:D126"/>
    <mergeCell ref="E122:E132"/>
    <mergeCell ref="K122:K132"/>
    <mergeCell ref="B133:J134"/>
    <mergeCell ref="O133:O134"/>
    <mergeCell ref="P133:P134"/>
    <mergeCell ref="B135:F135"/>
    <mergeCell ref="G135:K135"/>
    <mergeCell ref="L135:P135"/>
    <mergeCell ref="L122:L132"/>
    <mergeCell ref="M122:M132"/>
    <mergeCell ref="N122:N132"/>
    <mergeCell ref="O122:O132"/>
    <mergeCell ref="P122:P132"/>
    <mergeCell ref="C127:C132"/>
    <mergeCell ref="D127:D132"/>
    <mergeCell ref="B136:F142"/>
    <mergeCell ref="G136:K142"/>
    <mergeCell ref="L136:N136"/>
    <mergeCell ref="O136:P136"/>
    <mergeCell ref="L137:N137"/>
    <mergeCell ref="O137:P137"/>
    <mergeCell ref="L138:P140"/>
    <mergeCell ref="L141:O141"/>
    <mergeCell ref="L142:O142"/>
    <mergeCell ref="B147:P147"/>
    <mergeCell ref="A148:C148"/>
    <mergeCell ref="D148:I148"/>
    <mergeCell ref="J148:K148"/>
    <mergeCell ref="L148:P148"/>
    <mergeCell ref="B143:P143"/>
    <mergeCell ref="A144:P144"/>
    <mergeCell ref="B145:F145"/>
    <mergeCell ref="G145:K145"/>
    <mergeCell ref="L145:P145"/>
    <mergeCell ref="B146:F146"/>
    <mergeCell ref="G146:K146"/>
    <mergeCell ref="L146:P14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5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7"/>
      <c r="B2" s="318"/>
      <c r="C2" s="319"/>
      <c r="D2" s="320"/>
      <c r="E2" s="321" t="s">
        <v>119</v>
      </c>
      <c r="F2" s="322"/>
      <c r="G2" s="322"/>
      <c r="H2" s="322"/>
      <c r="I2" s="322"/>
      <c r="J2" s="322"/>
      <c r="K2" s="322"/>
      <c r="L2" s="322"/>
      <c r="M2" s="322"/>
      <c r="N2" s="322"/>
      <c r="O2" s="323"/>
      <c r="P2" s="324"/>
    </row>
    <row r="3" spans="1:26" s="2" customFormat="1" ht="25.5" customHeight="1" thickBot="1" x14ac:dyDescent="0.3">
      <c r="A3" s="317"/>
      <c r="B3" s="325"/>
      <c r="C3" s="326"/>
      <c r="D3" s="327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30"/>
      <c r="P3" s="331"/>
    </row>
    <row r="4" spans="1:26" s="91" customFormat="1" ht="11.25" customHeight="1" thickBot="1" x14ac:dyDescent="0.3">
      <c r="A4" s="15"/>
      <c r="B4" s="295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6">
        <v>43117</v>
      </c>
      <c r="D5" s="297"/>
      <c r="E5" s="70" t="s">
        <v>50</v>
      </c>
      <c r="F5" s="71">
        <v>2</v>
      </c>
      <c r="G5" s="72" t="s">
        <v>1</v>
      </c>
      <c r="H5" s="298" t="s">
        <v>120</v>
      </c>
      <c r="I5" s="299"/>
      <c r="J5" s="299"/>
      <c r="K5" s="299"/>
      <c r="L5" s="299"/>
      <c r="M5" s="299"/>
      <c r="N5" s="299"/>
      <c r="O5" s="299"/>
      <c r="P5" s="300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9" t="s">
        <v>2</v>
      </c>
      <c r="C6" s="280"/>
      <c r="D6" s="281" t="s">
        <v>106</v>
      </c>
      <c r="E6" s="282"/>
      <c r="F6" s="282"/>
      <c r="G6" s="282"/>
      <c r="H6" s="282"/>
      <c r="I6" s="283"/>
      <c r="J6" s="74" t="s">
        <v>3</v>
      </c>
      <c r="K6" s="284" t="s">
        <v>107</v>
      </c>
      <c r="L6" s="283"/>
      <c r="M6" s="284" t="s">
        <v>108</v>
      </c>
      <c r="N6" s="285"/>
      <c r="O6" s="75" t="s">
        <v>51</v>
      </c>
      <c r="P6" s="76">
        <v>1186</v>
      </c>
    </row>
    <row r="7" spans="1:26" s="18" customFormat="1" ht="21.75" customHeight="1" x14ac:dyDescent="0.25">
      <c r="B7" s="286" t="s">
        <v>52</v>
      </c>
      <c r="C7" s="287" t="s">
        <v>53</v>
      </c>
      <c r="D7" s="257"/>
      <c r="E7" s="78"/>
      <c r="F7" s="288" t="s">
        <v>54</v>
      </c>
      <c r="G7" s="289"/>
      <c r="H7" s="289"/>
      <c r="I7" s="289"/>
      <c r="J7" s="290" t="s">
        <v>55</v>
      </c>
      <c r="K7" s="291"/>
      <c r="L7" s="291"/>
      <c r="M7" s="292"/>
      <c r="N7" s="293" t="s">
        <v>101</v>
      </c>
      <c r="O7" s="294"/>
      <c r="P7" s="79" t="s">
        <v>56</v>
      </c>
    </row>
    <row r="8" spans="1:26" s="18" customFormat="1" ht="21.75" customHeight="1" thickBot="1" x14ac:dyDescent="0.3">
      <c r="B8" s="231"/>
      <c r="C8" s="248" t="s">
        <v>57</v>
      </c>
      <c r="D8" s="247"/>
      <c r="E8" s="80" t="s">
        <v>4</v>
      </c>
      <c r="F8" s="258" t="s">
        <v>5</v>
      </c>
      <c r="G8" s="259"/>
      <c r="H8" s="259"/>
      <c r="I8" s="259"/>
      <c r="J8" s="260"/>
      <c r="K8" s="261"/>
      <c r="L8" s="261"/>
      <c r="M8" s="262"/>
      <c r="N8" s="263"/>
      <c r="O8" s="264"/>
      <c r="P8" s="81"/>
    </row>
    <row r="9" spans="1:26" s="18" customFormat="1" ht="21.75" customHeight="1" x14ac:dyDescent="0.25">
      <c r="B9" s="265" t="s">
        <v>6</v>
      </c>
      <c r="C9" s="268" t="s">
        <v>58</v>
      </c>
      <c r="D9" s="269" t="s">
        <v>59</v>
      </c>
      <c r="E9" s="254"/>
      <c r="F9" s="82"/>
      <c r="G9" s="270" t="s">
        <v>7</v>
      </c>
      <c r="H9" s="271" t="s">
        <v>8</v>
      </c>
      <c r="I9" s="257"/>
      <c r="J9" s="83" t="s">
        <v>4</v>
      </c>
      <c r="K9" s="268" t="s">
        <v>60</v>
      </c>
      <c r="L9" s="272" t="s">
        <v>113</v>
      </c>
      <c r="M9" s="273"/>
      <c r="N9" s="274"/>
      <c r="O9" s="274"/>
      <c r="P9" s="275"/>
    </row>
    <row r="10" spans="1:26" s="18" customFormat="1" ht="21.75" customHeight="1" thickBot="1" x14ac:dyDescent="0.3">
      <c r="B10" s="266"/>
      <c r="C10" s="211"/>
      <c r="D10" s="252" t="s">
        <v>61</v>
      </c>
      <c r="E10" s="247"/>
      <c r="F10" s="84" t="s">
        <v>4</v>
      </c>
      <c r="G10" s="211"/>
      <c r="H10" s="252" t="s">
        <v>9</v>
      </c>
      <c r="I10" s="247"/>
      <c r="J10" s="85"/>
      <c r="K10" s="211"/>
      <c r="L10" s="276"/>
      <c r="M10" s="277"/>
      <c r="N10" s="277"/>
      <c r="O10" s="277"/>
      <c r="P10" s="278"/>
    </row>
    <row r="11" spans="1:26" s="18" customFormat="1" ht="21.75" customHeight="1" x14ac:dyDescent="0.25">
      <c r="A11" s="16"/>
      <c r="B11" s="266"/>
      <c r="C11" s="253" t="s">
        <v>10</v>
      </c>
      <c r="D11" s="254"/>
      <c r="E11" s="86">
        <v>0.45833333333333331</v>
      </c>
      <c r="F11" s="255" t="s">
        <v>11</v>
      </c>
      <c r="G11" s="254"/>
      <c r="H11" s="87">
        <v>0.93</v>
      </c>
      <c r="I11" s="256" t="s">
        <v>12</v>
      </c>
      <c r="J11" s="257"/>
      <c r="K11" s="87">
        <v>19</v>
      </c>
      <c r="L11" s="253" t="s">
        <v>13</v>
      </c>
      <c r="M11" s="254"/>
      <c r="N11" s="88">
        <v>20.5</v>
      </c>
      <c r="O11" s="244" t="s">
        <v>62</v>
      </c>
      <c r="P11" s="245"/>
    </row>
    <row r="12" spans="1:26" s="18" customFormat="1" ht="21.75" customHeight="1" thickBot="1" x14ac:dyDescent="0.3">
      <c r="A12" s="16"/>
      <c r="B12" s="267"/>
      <c r="C12" s="246" t="s">
        <v>14</v>
      </c>
      <c r="D12" s="247"/>
      <c r="E12" s="86">
        <v>0.57222222222222219</v>
      </c>
      <c r="F12" s="248" t="s">
        <v>15</v>
      </c>
      <c r="G12" s="247"/>
      <c r="H12" s="87">
        <v>0.9</v>
      </c>
      <c r="I12" s="249" t="s">
        <v>16</v>
      </c>
      <c r="J12" s="247"/>
      <c r="K12" s="86">
        <v>0.46527777777777773</v>
      </c>
      <c r="L12" s="246" t="s">
        <v>17</v>
      </c>
      <c r="M12" s="247"/>
      <c r="N12" s="89">
        <v>1</v>
      </c>
      <c r="O12" s="250">
        <v>1.02</v>
      </c>
      <c r="P12" s="251"/>
    </row>
    <row r="13" spans="1:26" s="18" customFormat="1" ht="21.75" customHeight="1" x14ac:dyDescent="0.25">
      <c r="A13" s="16"/>
      <c r="B13" s="229" t="s">
        <v>18</v>
      </c>
      <c r="C13" s="232" t="s">
        <v>63</v>
      </c>
      <c r="D13" s="233"/>
      <c r="E13" s="233"/>
      <c r="F13" s="234" t="s">
        <v>64</v>
      </c>
      <c r="G13" s="233"/>
      <c r="H13" s="233"/>
      <c r="I13" s="233"/>
      <c r="J13" s="234" t="s">
        <v>65</v>
      </c>
      <c r="K13" s="233"/>
      <c r="L13" s="233"/>
      <c r="M13" s="233"/>
      <c r="N13" s="235" t="s">
        <v>66</v>
      </c>
      <c r="O13" s="233"/>
      <c r="P13" s="236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0"/>
      <c r="C14" s="237" t="s">
        <v>67</v>
      </c>
      <c r="D14" s="238"/>
      <c r="E14" s="238"/>
      <c r="F14" s="239" t="s">
        <v>68</v>
      </c>
      <c r="G14" s="238"/>
      <c r="H14" s="238"/>
      <c r="I14" s="238"/>
      <c r="J14" s="240" t="s">
        <v>69</v>
      </c>
      <c r="K14" s="238"/>
      <c r="L14" s="238"/>
      <c r="M14" s="238"/>
      <c r="N14" s="241"/>
      <c r="O14" s="226"/>
      <c r="P14" s="242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1"/>
      <c r="C15" s="243" t="s">
        <v>70</v>
      </c>
      <c r="D15" s="213"/>
      <c r="E15" s="213"/>
      <c r="F15" s="213" t="s">
        <v>71</v>
      </c>
      <c r="G15" s="214"/>
      <c r="H15" s="214"/>
      <c r="I15" s="214"/>
      <c r="J15" s="213" t="s">
        <v>72</v>
      </c>
      <c r="K15" s="214"/>
      <c r="L15" s="214"/>
      <c r="M15" s="214"/>
      <c r="N15" s="215"/>
      <c r="O15" s="216"/>
      <c r="P15" s="2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8" t="s">
        <v>19</v>
      </c>
      <c r="C16" s="220" t="s">
        <v>20</v>
      </c>
      <c r="D16" s="220" t="s">
        <v>40</v>
      </c>
      <c r="E16" s="222" t="s">
        <v>21</v>
      </c>
      <c r="F16" s="223" t="s">
        <v>41</v>
      </c>
      <c r="G16" s="224"/>
      <c r="H16" s="220" t="s">
        <v>73</v>
      </c>
      <c r="I16" s="227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9"/>
      <c r="C17" s="221"/>
      <c r="D17" s="221"/>
      <c r="E17" s="221"/>
      <c r="F17" s="225"/>
      <c r="G17" s="226"/>
      <c r="H17" s="221"/>
      <c r="I17" s="228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1.02</v>
      </c>
      <c r="D18" s="29">
        <v>0.09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9">
        <v>1</v>
      </c>
      <c r="C19" s="212">
        <f>+C18+$N$12</f>
        <v>2.02</v>
      </c>
      <c r="D19" s="189">
        <v>0.56000000000000005</v>
      </c>
      <c r="E19" s="189">
        <v>0.251</v>
      </c>
      <c r="F19" s="36" t="s">
        <v>75</v>
      </c>
      <c r="G19" s="37">
        <v>0</v>
      </c>
      <c r="H19" s="38"/>
      <c r="I19" s="39"/>
      <c r="J19" s="40">
        <v>3.0000000000000001E-3</v>
      </c>
      <c r="K19" s="189">
        <f>+IF(E19&lt;=0.12,(J21),(IF(E19&lt;0.16,((J20+2*J21+J22)/4),IF(E19&gt;=0.16,((J19+3*J20+2*J21+3*J22+J23)/10)))))</f>
        <v>8.4399999999999989E-2</v>
      </c>
      <c r="L19" s="189">
        <f>ROUND(+(D18+D19)/2*(C19-C18),3)</f>
        <v>0.32500000000000001</v>
      </c>
      <c r="M19" s="189">
        <f>ROUND(+K19*L19,4)</f>
        <v>2.7400000000000001E-2</v>
      </c>
      <c r="N19" s="192">
        <f>ROUND(+M19/$M$138*100,2)</f>
        <v>0.24</v>
      </c>
      <c r="O19" s="193"/>
      <c r="P19" s="194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0"/>
      <c r="C20" s="190"/>
      <c r="D20" s="190"/>
      <c r="E20" s="190"/>
      <c r="F20" s="41" t="s">
        <v>76</v>
      </c>
      <c r="G20" s="42">
        <f>IF(E19&lt;0.125,"NA",IF(0.125&lt;=E19,(0.2*E19)))</f>
        <v>5.0200000000000002E-2</v>
      </c>
      <c r="H20" s="43"/>
      <c r="I20" s="44"/>
      <c r="J20" s="45">
        <v>0.01</v>
      </c>
      <c r="K20" s="190"/>
      <c r="L20" s="190"/>
      <c r="M20" s="190"/>
      <c r="N20" s="190"/>
      <c r="O20" s="190"/>
      <c r="P20" s="195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0"/>
      <c r="C21" s="190"/>
      <c r="D21" s="190"/>
      <c r="E21" s="190"/>
      <c r="F21" s="41" t="s">
        <v>77</v>
      </c>
      <c r="G21" s="42">
        <f>+E19*0.4</f>
        <v>0.1004</v>
      </c>
      <c r="H21" s="43"/>
      <c r="I21" s="44"/>
      <c r="J21" s="45">
        <v>1.4E-2</v>
      </c>
      <c r="K21" s="190"/>
      <c r="L21" s="190"/>
      <c r="M21" s="190"/>
      <c r="N21" s="190"/>
      <c r="O21" s="190"/>
      <c r="P21" s="195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0"/>
      <c r="C22" s="190"/>
      <c r="D22" s="190"/>
      <c r="E22" s="190"/>
      <c r="F22" s="41" t="s">
        <v>78</v>
      </c>
      <c r="G22" s="42">
        <f>IF(E19&lt;0.125,"NA",IF(0.125&lt;=E19,(0.8*E19)))</f>
        <v>0.20080000000000001</v>
      </c>
      <c r="H22" s="43"/>
      <c r="I22" s="44"/>
      <c r="J22" s="45">
        <v>0.16</v>
      </c>
      <c r="K22" s="190"/>
      <c r="L22" s="190"/>
      <c r="M22" s="190"/>
      <c r="N22" s="190"/>
      <c r="O22" s="190"/>
      <c r="P22" s="195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1"/>
      <c r="C23" s="191"/>
      <c r="D23" s="191"/>
      <c r="E23" s="191"/>
      <c r="F23" s="46" t="s">
        <v>79</v>
      </c>
      <c r="G23" s="47">
        <f>+E19</f>
        <v>0.251</v>
      </c>
      <c r="H23" s="48"/>
      <c r="I23" s="49"/>
      <c r="J23" s="50">
        <v>0.30299999999999999</v>
      </c>
      <c r="K23" s="191"/>
      <c r="L23" s="191"/>
      <c r="M23" s="191"/>
      <c r="N23" s="191"/>
      <c r="O23" s="191"/>
      <c r="P23" s="196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9">
        <v>2</v>
      </c>
      <c r="C24" s="212">
        <f>+C19+$N$12</f>
        <v>3.02</v>
      </c>
      <c r="D24" s="189">
        <v>0.74</v>
      </c>
      <c r="E24" s="189">
        <v>0.59</v>
      </c>
      <c r="F24" s="36" t="s">
        <v>75</v>
      </c>
      <c r="G24" s="37">
        <v>0</v>
      </c>
      <c r="H24" s="38"/>
      <c r="I24" s="39"/>
      <c r="J24" s="40">
        <v>2.7E-2</v>
      </c>
      <c r="K24" s="189">
        <f>+IF(E24&lt;=0.12,(J26),(IF(E24&lt;0.16,((J25+2*J26+J27)/4),IF(E24&gt;=0.16,((J24+3*J25+2*J26+3*J27+J28)/10)))))</f>
        <v>0.16949999999999998</v>
      </c>
      <c r="L24" s="189">
        <f>ROUND(+(D19+D24)/2*(C24-C19),3)</f>
        <v>0.65</v>
      </c>
      <c r="M24" s="189">
        <f>ROUND(+K24*L24,4)</f>
        <v>0.11020000000000001</v>
      </c>
      <c r="N24" s="192">
        <f>ROUND(+M24/$M$138*100,2)</f>
        <v>0.98</v>
      </c>
      <c r="O24" s="193"/>
      <c r="P24" s="194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0"/>
      <c r="C25" s="190"/>
      <c r="D25" s="190"/>
      <c r="E25" s="190"/>
      <c r="F25" s="41" t="s">
        <v>76</v>
      </c>
      <c r="G25" s="42">
        <f>IF(E24&lt;0.125,"NA",IF(0.125&lt;=E24,(0.2*E24)))</f>
        <v>0.11799999999999999</v>
      </c>
      <c r="H25" s="43"/>
      <c r="I25" s="44"/>
      <c r="J25" s="45">
        <v>4.2999999999999997E-2</v>
      </c>
      <c r="K25" s="190"/>
      <c r="L25" s="190"/>
      <c r="M25" s="190"/>
      <c r="N25" s="190"/>
      <c r="O25" s="190"/>
      <c r="P25" s="195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0"/>
      <c r="C26" s="190"/>
      <c r="D26" s="190"/>
      <c r="E26" s="190"/>
      <c r="F26" s="41" t="s">
        <v>77</v>
      </c>
      <c r="G26" s="42">
        <f>+E24*0.4</f>
        <v>0.23599999999999999</v>
      </c>
      <c r="H26" s="43"/>
      <c r="I26" s="44"/>
      <c r="J26" s="45">
        <v>0.109</v>
      </c>
      <c r="K26" s="190"/>
      <c r="L26" s="190"/>
      <c r="M26" s="190"/>
      <c r="N26" s="190"/>
      <c r="O26" s="190"/>
      <c r="P26" s="195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0"/>
      <c r="C27" s="190"/>
      <c r="D27" s="190"/>
      <c r="E27" s="190"/>
      <c r="F27" s="41" t="s">
        <v>78</v>
      </c>
      <c r="G27" s="42">
        <f>IF(E24&lt;0.125,"NA",IF(0.125&lt;=E24,(0.8*E24)))</f>
        <v>0.47199999999999998</v>
      </c>
      <c r="H27" s="43"/>
      <c r="I27" s="44"/>
      <c r="J27" s="45">
        <v>0.30299999999999999</v>
      </c>
      <c r="K27" s="190"/>
      <c r="L27" s="190"/>
      <c r="M27" s="190"/>
      <c r="N27" s="190"/>
      <c r="O27" s="190"/>
      <c r="P27" s="195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1"/>
      <c r="C28" s="191"/>
      <c r="D28" s="191"/>
      <c r="E28" s="191"/>
      <c r="F28" s="46" t="s">
        <v>79</v>
      </c>
      <c r="G28" s="47">
        <f>+E24</f>
        <v>0.59</v>
      </c>
      <c r="H28" s="48"/>
      <c r="I28" s="49"/>
      <c r="J28" s="50">
        <v>0.41199999999999998</v>
      </c>
      <c r="K28" s="191"/>
      <c r="L28" s="191"/>
      <c r="M28" s="191"/>
      <c r="N28" s="191"/>
      <c r="O28" s="191"/>
      <c r="P28" s="196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9">
        <v>3</v>
      </c>
      <c r="C29" s="212">
        <f t="shared" ref="C29" si="0">+C24+$N$12</f>
        <v>4.0199999999999996</v>
      </c>
      <c r="D29" s="189">
        <v>0.93</v>
      </c>
      <c r="E29" s="189">
        <v>0.83099999999999996</v>
      </c>
      <c r="F29" s="36" t="s">
        <v>75</v>
      </c>
      <c r="G29" s="37">
        <v>0</v>
      </c>
      <c r="H29" s="38"/>
      <c r="I29" s="39"/>
      <c r="J29" s="40">
        <v>6.5000000000000002E-2</v>
      </c>
      <c r="K29" s="189">
        <f t="shared" ref="K29" si="1">+IF(E29&lt;=0.12,(J31),(IF(E29&lt;0.16,((J30+2*J31+J32)/4),IF(E29&gt;=0.16,((J29+3*J30+2*J31+3*J32+J33)/10)))))</f>
        <v>0.86599999999999999</v>
      </c>
      <c r="L29" s="189">
        <f>ROUND(+(D24+D29)/2*(C29-C24),3)</f>
        <v>0.83499999999999996</v>
      </c>
      <c r="M29" s="189">
        <f>ROUND(+K29*L29,4)</f>
        <v>0.72309999999999997</v>
      </c>
      <c r="N29" s="192">
        <f t="shared" ref="N29" si="2">ROUND(+M29/$M$138*100,2)</f>
        <v>6.41</v>
      </c>
      <c r="O29" s="193"/>
      <c r="P29" s="19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0"/>
      <c r="C30" s="190"/>
      <c r="D30" s="190"/>
      <c r="E30" s="190"/>
      <c r="F30" s="41" t="s">
        <v>76</v>
      </c>
      <c r="G30" s="42">
        <f t="shared" ref="G30" si="3">IF(E29&lt;0.125,"NA",IF(0.125&lt;=E29,(0.2*E29)))</f>
        <v>0.16620000000000001</v>
      </c>
      <c r="H30" s="43"/>
      <c r="I30" s="44"/>
      <c r="J30" s="45">
        <v>0.48899999999999999</v>
      </c>
      <c r="K30" s="190"/>
      <c r="L30" s="190"/>
      <c r="M30" s="190"/>
      <c r="N30" s="190"/>
      <c r="O30" s="190"/>
      <c r="P30" s="195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0"/>
      <c r="C31" s="190"/>
      <c r="D31" s="190"/>
      <c r="E31" s="190"/>
      <c r="F31" s="41" t="s">
        <v>77</v>
      </c>
      <c r="G31" s="42">
        <f t="shared" ref="G31" si="4">+E29*0.4</f>
        <v>0.33240000000000003</v>
      </c>
      <c r="H31" s="43"/>
      <c r="I31" s="44"/>
      <c r="J31" s="45">
        <v>0.81200000000000006</v>
      </c>
      <c r="K31" s="190"/>
      <c r="L31" s="190"/>
      <c r="M31" s="190"/>
      <c r="N31" s="190"/>
      <c r="O31" s="190"/>
      <c r="P31" s="195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0"/>
      <c r="C32" s="190"/>
      <c r="D32" s="190"/>
      <c r="E32" s="190"/>
      <c r="F32" s="41" t="s">
        <v>78</v>
      </c>
      <c r="G32" s="42">
        <f t="shared" ref="G32" si="5">IF(E29&lt;0.125,"NA",IF(0.125&lt;=E29,(0.8*E29)))</f>
        <v>0.66480000000000006</v>
      </c>
      <c r="H32" s="43"/>
      <c r="I32" s="44"/>
      <c r="J32" s="45">
        <v>1.4379999999999999</v>
      </c>
      <c r="K32" s="190"/>
      <c r="L32" s="190"/>
      <c r="M32" s="190"/>
      <c r="N32" s="190"/>
      <c r="O32" s="190"/>
      <c r="P32" s="195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1"/>
      <c r="C33" s="191"/>
      <c r="D33" s="191"/>
      <c r="E33" s="191"/>
      <c r="F33" s="46" t="s">
        <v>79</v>
      </c>
      <c r="G33" s="47">
        <f t="shared" ref="G33" si="6">+E29</f>
        <v>0.83099999999999996</v>
      </c>
      <c r="H33" s="48"/>
      <c r="I33" s="49"/>
      <c r="J33" s="50">
        <v>1.19</v>
      </c>
      <c r="K33" s="191"/>
      <c r="L33" s="191"/>
      <c r="M33" s="191"/>
      <c r="N33" s="191"/>
      <c r="O33" s="191"/>
      <c r="P33" s="196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9">
        <v>4</v>
      </c>
      <c r="C34" s="212">
        <f t="shared" ref="C34" si="7">+C29+$N$12</f>
        <v>5.0199999999999996</v>
      </c>
      <c r="D34" s="189">
        <v>1.1299999999999999</v>
      </c>
      <c r="E34" s="189">
        <v>0.93300000000000005</v>
      </c>
      <c r="F34" s="36" t="s">
        <v>75</v>
      </c>
      <c r="G34" s="37">
        <v>0</v>
      </c>
      <c r="H34" s="38"/>
      <c r="I34" s="39"/>
      <c r="J34" s="40">
        <v>0.27600000000000002</v>
      </c>
      <c r="K34" s="189">
        <f t="shared" ref="K34" si="8">+IF(E34&lt;=0.12,(J36),(IF(E34&lt;0.16,((J35+2*J36+J37)/4),IF(E34&gt;=0.16,((J34+3*J35+2*J36+3*J37+J38)/10)))))</f>
        <v>1.0257999999999998</v>
      </c>
      <c r="L34" s="189">
        <f>ROUND(+(D29+D34)/2*(C34-C29),3)</f>
        <v>1.03</v>
      </c>
      <c r="M34" s="189">
        <f>ROUND(+K34*L34,4)</f>
        <v>1.0566</v>
      </c>
      <c r="N34" s="192">
        <f t="shared" ref="N34" si="9">ROUND(+M34/$M$138*100,2)</f>
        <v>9.3699999999999992</v>
      </c>
      <c r="O34" s="193"/>
      <c r="P34" s="194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0"/>
      <c r="C35" s="190"/>
      <c r="D35" s="190"/>
      <c r="E35" s="190"/>
      <c r="F35" s="41" t="s">
        <v>76</v>
      </c>
      <c r="G35" s="42">
        <f t="shared" ref="G35" si="10">IF(E34&lt;0.125,"NA",IF(0.125&lt;=E34,(0.2*E34)))</f>
        <v>0.18660000000000002</v>
      </c>
      <c r="H35" s="43"/>
      <c r="I35" s="44"/>
      <c r="J35" s="45">
        <v>0.624</v>
      </c>
      <c r="K35" s="190"/>
      <c r="L35" s="190"/>
      <c r="M35" s="190"/>
      <c r="N35" s="190"/>
      <c r="O35" s="190"/>
      <c r="P35" s="195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0"/>
      <c r="C36" s="190"/>
      <c r="D36" s="190"/>
      <c r="E36" s="190"/>
      <c r="F36" s="41" t="s">
        <v>77</v>
      </c>
      <c r="G36" s="42">
        <f t="shared" ref="G36" si="11">+E34*0.4</f>
        <v>0.37320000000000003</v>
      </c>
      <c r="H36" s="43"/>
      <c r="I36" s="44"/>
      <c r="J36" s="45">
        <v>0.96499999999999997</v>
      </c>
      <c r="K36" s="190"/>
      <c r="L36" s="190"/>
      <c r="M36" s="190"/>
      <c r="N36" s="190"/>
      <c r="O36" s="190"/>
      <c r="P36" s="195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0"/>
      <c r="C37" s="190"/>
      <c r="D37" s="190"/>
      <c r="E37" s="190"/>
      <c r="F37" s="41" t="s">
        <v>78</v>
      </c>
      <c r="G37" s="42">
        <f t="shared" ref="G37" si="12">IF(E34&lt;0.125,"NA",IF(0.125&lt;=E34,(0.8*E34)))</f>
        <v>0.74640000000000006</v>
      </c>
      <c r="H37" s="43"/>
      <c r="I37" s="44"/>
      <c r="J37" s="45">
        <v>1.607</v>
      </c>
      <c r="K37" s="190"/>
      <c r="L37" s="190"/>
      <c r="M37" s="190"/>
      <c r="N37" s="190"/>
      <c r="O37" s="190"/>
      <c r="P37" s="195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1"/>
      <c r="C38" s="191"/>
      <c r="D38" s="191"/>
      <c r="E38" s="191"/>
      <c r="F38" s="46" t="s">
        <v>79</v>
      </c>
      <c r="G38" s="47">
        <f t="shared" ref="G38" si="13">+E34</f>
        <v>0.93300000000000005</v>
      </c>
      <c r="H38" s="48"/>
      <c r="I38" s="49"/>
      <c r="J38" s="50">
        <v>1.359</v>
      </c>
      <c r="K38" s="191"/>
      <c r="L38" s="191"/>
      <c r="M38" s="191"/>
      <c r="N38" s="191"/>
      <c r="O38" s="191"/>
      <c r="P38" s="196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9">
        <v>5</v>
      </c>
      <c r="C39" s="212">
        <f t="shared" ref="C39" si="14">+C34+$N$12</f>
        <v>6.02</v>
      </c>
      <c r="D39" s="189">
        <v>0.91</v>
      </c>
      <c r="E39" s="189">
        <v>1.008</v>
      </c>
      <c r="F39" s="36" t="s">
        <v>75</v>
      </c>
      <c r="G39" s="37">
        <v>0</v>
      </c>
      <c r="H39" s="38"/>
      <c r="I39" s="39"/>
      <c r="J39" s="40">
        <v>0.30599999999999999</v>
      </c>
      <c r="K39" s="189">
        <f>+IF(E34&lt;=0.12,(J41),(IF(E34&lt;0.16,((J40+2*J41+J42)/4),IF(E34&gt;=0.16,((J39+3*J40+2*J41+3*J42+J43)/10)))))</f>
        <v>1.2890999999999999</v>
      </c>
      <c r="L39" s="189">
        <f>ROUND(+(D34+D39)/2*(C39-C34),3)</f>
        <v>1.02</v>
      </c>
      <c r="M39" s="189">
        <f>ROUND(+K39*L39,4)</f>
        <v>1.3149</v>
      </c>
      <c r="N39" s="192">
        <f>ROUND(+M39/$M$138*100,2)</f>
        <v>11.66</v>
      </c>
      <c r="O39" s="193"/>
      <c r="P39" s="194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0"/>
      <c r="C40" s="190"/>
      <c r="D40" s="190"/>
      <c r="E40" s="190"/>
      <c r="F40" s="41" t="s">
        <v>76</v>
      </c>
      <c r="G40" s="42">
        <f t="shared" ref="G40" si="15">IF(E39&lt;0.125,"NA",IF(0.125&lt;=E39,(0.2*E39)))</f>
        <v>0.2016</v>
      </c>
      <c r="H40" s="43"/>
      <c r="I40" s="44"/>
      <c r="J40" s="45">
        <v>1.0609999999999999</v>
      </c>
      <c r="K40" s="190"/>
      <c r="L40" s="190"/>
      <c r="M40" s="190"/>
      <c r="N40" s="190"/>
      <c r="O40" s="190"/>
      <c r="P40" s="195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0"/>
      <c r="C41" s="190"/>
      <c r="D41" s="190"/>
      <c r="E41" s="190"/>
      <c r="F41" s="41" t="s">
        <v>77</v>
      </c>
      <c r="G41" s="42">
        <f t="shared" ref="G41" si="16">+E39*0.4</f>
        <v>0.4032</v>
      </c>
      <c r="H41" s="43"/>
      <c r="I41" s="44"/>
      <c r="J41" s="45">
        <v>1.212</v>
      </c>
      <c r="K41" s="190"/>
      <c r="L41" s="190"/>
      <c r="M41" s="190"/>
      <c r="N41" s="190"/>
      <c r="O41" s="190"/>
      <c r="P41" s="195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0"/>
      <c r="C42" s="190"/>
      <c r="D42" s="190"/>
      <c r="E42" s="190"/>
      <c r="F42" s="41" t="s">
        <v>78</v>
      </c>
      <c r="G42" s="42">
        <f t="shared" ref="G42" si="17">IF(E39&lt;0.125,"NA",IF(0.125&lt;=E39,(0.8*E39)))</f>
        <v>0.80640000000000001</v>
      </c>
      <c r="H42" s="43"/>
      <c r="I42" s="44"/>
      <c r="J42" s="45">
        <v>1.7190000000000001</v>
      </c>
      <c r="K42" s="190"/>
      <c r="L42" s="190"/>
      <c r="M42" s="190"/>
      <c r="N42" s="190"/>
      <c r="O42" s="190"/>
      <c r="P42" s="195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1"/>
      <c r="C43" s="191"/>
      <c r="D43" s="191"/>
      <c r="E43" s="191"/>
      <c r="F43" s="46" t="s">
        <v>79</v>
      </c>
      <c r="G43" s="47">
        <f t="shared" ref="G43" si="18">+E39</f>
        <v>1.008</v>
      </c>
      <c r="H43" s="48"/>
      <c r="I43" s="49"/>
      <c r="J43" s="50">
        <v>1.821</v>
      </c>
      <c r="K43" s="191"/>
      <c r="L43" s="191"/>
      <c r="M43" s="191"/>
      <c r="N43" s="191"/>
      <c r="O43" s="191"/>
      <c r="P43" s="196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9">
        <v>6</v>
      </c>
      <c r="C44" s="212">
        <f t="shared" ref="C44" si="19">+C39+$N$12</f>
        <v>7.02</v>
      </c>
      <c r="D44" s="189">
        <v>0.86</v>
      </c>
      <c r="E44" s="189">
        <v>1.0449999999999999</v>
      </c>
      <c r="F44" s="36" t="s">
        <v>75</v>
      </c>
      <c r="G44" s="37">
        <v>0</v>
      </c>
      <c r="H44" s="38"/>
      <c r="I44" s="39"/>
      <c r="J44" s="40"/>
      <c r="K44" s="189"/>
      <c r="L44" s="189"/>
      <c r="M44" s="189"/>
      <c r="N44" s="192"/>
      <c r="O44" s="193"/>
      <c r="P44" s="194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0"/>
      <c r="C45" s="190"/>
      <c r="D45" s="190"/>
      <c r="E45" s="190"/>
      <c r="F45" s="41" t="s">
        <v>76</v>
      </c>
      <c r="G45" s="42">
        <f t="shared" ref="G45" si="20">IF(E44&lt;0.125,"NA",IF(0.125&lt;=E44,(0.2*E44)))</f>
        <v>0.20899999999999999</v>
      </c>
      <c r="H45" s="43"/>
      <c r="I45" s="44"/>
      <c r="J45" s="45"/>
      <c r="K45" s="190"/>
      <c r="L45" s="190"/>
      <c r="M45" s="190"/>
      <c r="N45" s="190"/>
      <c r="O45" s="190"/>
      <c r="P45" s="195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0"/>
      <c r="C46" s="190"/>
      <c r="D46" s="190"/>
      <c r="E46" s="190"/>
      <c r="F46" s="41" t="s">
        <v>77</v>
      </c>
      <c r="G46" s="42">
        <f t="shared" ref="G46" si="21">+E44*0.4</f>
        <v>0.41799999999999998</v>
      </c>
      <c r="H46" s="43"/>
      <c r="I46" s="44"/>
      <c r="J46" s="45"/>
      <c r="K46" s="190"/>
      <c r="L46" s="190"/>
      <c r="M46" s="190"/>
      <c r="N46" s="190"/>
      <c r="O46" s="190"/>
      <c r="P46" s="195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0"/>
      <c r="C47" s="190"/>
      <c r="D47" s="190"/>
      <c r="E47" s="190"/>
      <c r="F47" s="41" t="s">
        <v>78</v>
      </c>
      <c r="G47" s="42">
        <f t="shared" ref="G47" si="22">IF(E44&lt;0.125,"NA",IF(0.125&lt;=E44,(0.8*E44)))</f>
        <v>0.83599999999999997</v>
      </c>
      <c r="H47" s="43"/>
      <c r="I47" s="44"/>
      <c r="J47" s="45"/>
      <c r="K47" s="190"/>
      <c r="L47" s="190"/>
      <c r="M47" s="190"/>
      <c r="N47" s="190"/>
      <c r="O47" s="190"/>
      <c r="P47" s="195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1"/>
      <c r="C48" s="191"/>
      <c r="D48" s="191"/>
      <c r="E48" s="191"/>
      <c r="F48" s="46" t="s">
        <v>79</v>
      </c>
      <c r="G48" s="47">
        <f t="shared" ref="G48" si="23">+E44</f>
        <v>1.0449999999999999</v>
      </c>
      <c r="H48" s="48"/>
      <c r="I48" s="49"/>
      <c r="J48" s="50"/>
      <c r="K48" s="191"/>
      <c r="L48" s="191"/>
      <c r="M48" s="191"/>
      <c r="N48" s="191"/>
      <c r="O48" s="191"/>
      <c r="P48" s="196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9">
        <v>7</v>
      </c>
      <c r="C49" s="212">
        <f t="shared" ref="C49" si="24">+C44+$N$12</f>
        <v>8.02</v>
      </c>
      <c r="D49" s="189">
        <v>0.68500000000000005</v>
      </c>
      <c r="E49" s="189">
        <v>0.82</v>
      </c>
      <c r="F49" s="36" t="s">
        <v>75</v>
      </c>
      <c r="G49" s="37">
        <v>0</v>
      </c>
      <c r="H49" s="38"/>
      <c r="I49" s="39"/>
      <c r="J49" s="40">
        <v>0.39800000000000002</v>
      </c>
      <c r="K49" s="189">
        <f>+IF(E49&lt;=0.12,(J51),(IF(E49&lt;0.16,((J50+2*J51+J52)/4),IF(E49&gt;=0.16,((J49+3*J50+2*J51+3*J52+J53)/10)))))</f>
        <v>0.86460000000000004</v>
      </c>
      <c r="L49" s="189">
        <f>ROUND(+(D44+D49)/2*(C49-C44),3)</f>
        <v>0.77300000000000002</v>
      </c>
      <c r="M49" s="189">
        <f>ROUND(+K49*L49,4)</f>
        <v>0.66830000000000001</v>
      </c>
      <c r="N49" s="192">
        <f>ROUND(+M49/$M$138*100,2)</f>
        <v>5.93</v>
      </c>
      <c r="O49" s="193"/>
      <c r="P49" s="194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0"/>
      <c r="C50" s="190"/>
      <c r="D50" s="190"/>
      <c r="E50" s="190"/>
      <c r="F50" s="41" t="s">
        <v>76</v>
      </c>
      <c r="G50" s="42">
        <f t="shared" ref="G50" si="25">IF(E49&lt;0.125,"NA",IF(0.125&lt;=E49,(0.2*E49)))</f>
        <v>0.16400000000000001</v>
      </c>
      <c r="H50" s="43"/>
      <c r="I50" s="44"/>
      <c r="J50" s="45">
        <v>0.58499999999999996</v>
      </c>
      <c r="K50" s="190"/>
      <c r="L50" s="190"/>
      <c r="M50" s="190"/>
      <c r="N50" s="190"/>
      <c r="O50" s="190"/>
      <c r="P50" s="195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0"/>
      <c r="C51" s="190"/>
      <c r="D51" s="190"/>
      <c r="E51" s="190"/>
      <c r="F51" s="41" t="s">
        <v>77</v>
      </c>
      <c r="G51" s="42">
        <f t="shared" ref="G51" si="26">+E49*0.4</f>
        <v>0.32800000000000001</v>
      </c>
      <c r="H51" s="43"/>
      <c r="I51" s="44"/>
      <c r="J51" s="45">
        <v>0.86599999999999999</v>
      </c>
      <c r="K51" s="190"/>
      <c r="L51" s="190"/>
      <c r="M51" s="190"/>
      <c r="N51" s="190"/>
      <c r="O51" s="190"/>
      <c r="P51" s="195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0"/>
      <c r="C52" s="190"/>
      <c r="D52" s="190"/>
      <c r="E52" s="190"/>
      <c r="F52" s="41" t="s">
        <v>78</v>
      </c>
      <c r="G52" s="42">
        <f t="shared" ref="G52" si="27">IF(E49&lt;0.125,"NA",IF(0.125&lt;=E49,(0.8*E49)))</f>
        <v>0.65600000000000003</v>
      </c>
      <c r="H52" s="43"/>
      <c r="I52" s="44"/>
      <c r="J52" s="45">
        <v>1.1910000000000001</v>
      </c>
      <c r="K52" s="190"/>
      <c r="L52" s="190"/>
      <c r="M52" s="190"/>
      <c r="N52" s="190"/>
      <c r="O52" s="190"/>
      <c r="P52" s="195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1"/>
      <c r="C53" s="191"/>
      <c r="D53" s="191"/>
      <c r="E53" s="191"/>
      <c r="F53" s="46" t="s">
        <v>79</v>
      </c>
      <c r="G53" s="47">
        <f t="shared" ref="G53" si="28">+E49</f>
        <v>0.82</v>
      </c>
      <c r="H53" s="48"/>
      <c r="I53" s="49"/>
      <c r="J53" s="50">
        <v>1.1879999999999999</v>
      </c>
      <c r="K53" s="191"/>
      <c r="L53" s="191"/>
      <c r="M53" s="191"/>
      <c r="N53" s="191"/>
      <c r="O53" s="191"/>
      <c r="P53" s="196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9">
        <v>8</v>
      </c>
      <c r="C54" s="212">
        <f t="shared" ref="C54" si="29">+C49+$N$12</f>
        <v>9.02</v>
      </c>
      <c r="D54" s="189">
        <v>0.85</v>
      </c>
      <c r="E54" s="189">
        <v>0.81499999999999995</v>
      </c>
      <c r="F54" s="36" t="s">
        <v>75</v>
      </c>
      <c r="G54" s="37">
        <v>0</v>
      </c>
      <c r="H54" s="38"/>
      <c r="I54" s="39"/>
      <c r="J54" s="40">
        <v>0.40300000000000002</v>
      </c>
      <c r="K54" s="189">
        <f>+IF(E54&lt;=0.12,(J56),(IF(E54&lt;0.16,((J55+2*J56+J57)/4),IF(E54&gt;=0.16,((J54+3*J55+2*J56+3*J57+J58)/10)))))</f>
        <v>1.2677999999999998</v>
      </c>
      <c r="L54" s="189">
        <f>ROUND(+(D49+D54)/2*(C54-C49),3)</f>
        <v>0.76800000000000002</v>
      </c>
      <c r="M54" s="189">
        <f>ROUND(+K54*L54,4)</f>
        <v>0.97370000000000001</v>
      </c>
      <c r="N54" s="192">
        <f>ROUND(+M54/$M$138*100,2)</f>
        <v>8.64</v>
      </c>
      <c r="O54" s="193"/>
      <c r="P54" s="194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0"/>
      <c r="C55" s="190"/>
      <c r="D55" s="190"/>
      <c r="E55" s="190"/>
      <c r="F55" s="41" t="s">
        <v>76</v>
      </c>
      <c r="G55" s="42">
        <f t="shared" ref="G55" si="30">IF(E54&lt;0.125,"NA",IF(0.125&lt;=E54,(0.2*E54)))</f>
        <v>0.16300000000000001</v>
      </c>
      <c r="H55" s="43"/>
      <c r="I55" s="44"/>
      <c r="J55" s="45">
        <v>0.96099999999999997</v>
      </c>
      <c r="K55" s="190"/>
      <c r="L55" s="190"/>
      <c r="M55" s="190"/>
      <c r="N55" s="190"/>
      <c r="O55" s="190"/>
      <c r="P55" s="195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0"/>
      <c r="C56" s="190"/>
      <c r="D56" s="190"/>
      <c r="E56" s="190"/>
      <c r="F56" s="41" t="s">
        <v>77</v>
      </c>
      <c r="G56" s="42">
        <f t="shared" ref="G56" si="31">+E54*0.4</f>
        <v>0.32600000000000001</v>
      </c>
      <c r="H56" s="43"/>
      <c r="I56" s="44"/>
      <c r="J56" s="45">
        <v>1.1120000000000001</v>
      </c>
      <c r="K56" s="190"/>
      <c r="L56" s="190"/>
      <c r="M56" s="190"/>
      <c r="N56" s="190"/>
      <c r="O56" s="190"/>
      <c r="P56" s="195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0"/>
      <c r="C57" s="190"/>
      <c r="D57" s="190"/>
      <c r="E57" s="190"/>
      <c r="F57" s="41" t="s">
        <v>78</v>
      </c>
      <c r="G57" s="42">
        <f t="shared" ref="G57" si="32">IF(E54&lt;0.125,"NA",IF(0.125&lt;=E54,(0.8*E54)))</f>
        <v>0.65200000000000002</v>
      </c>
      <c r="H57" s="43"/>
      <c r="I57" s="44"/>
      <c r="J57" s="45">
        <v>1.7889999999999999</v>
      </c>
      <c r="K57" s="190"/>
      <c r="L57" s="190"/>
      <c r="M57" s="190"/>
      <c r="N57" s="190"/>
      <c r="O57" s="190"/>
      <c r="P57" s="195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1"/>
      <c r="C58" s="191"/>
      <c r="D58" s="191"/>
      <c r="E58" s="191"/>
      <c r="F58" s="46" t="s">
        <v>79</v>
      </c>
      <c r="G58" s="47">
        <f t="shared" ref="G58" si="33">+E54</f>
        <v>0.81499999999999995</v>
      </c>
      <c r="H58" s="48"/>
      <c r="I58" s="49"/>
      <c r="J58" s="50">
        <v>1.8009999999999999</v>
      </c>
      <c r="K58" s="191"/>
      <c r="L58" s="191"/>
      <c r="M58" s="191"/>
      <c r="N58" s="191"/>
      <c r="O58" s="191"/>
      <c r="P58" s="196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9">
        <v>9</v>
      </c>
      <c r="C59" s="212">
        <f t="shared" ref="C59" si="34">+C54+$N$12</f>
        <v>10.02</v>
      </c>
      <c r="D59" s="189">
        <v>0.48299999999999998</v>
      </c>
      <c r="E59" s="189">
        <v>0.56799999999999995</v>
      </c>
      <c r="F59" s="36" t="s">
        <v>75</v>
      </c>
      <c r="G59" s="37">
        <v>0</v>
      </c>
      <c r="H59" s="38"/>
      <c r="I59" s="39"/>
      <c r="J59" s="40">
        <v>0.85399999999999998</v>
      </c>
      <c r="K59" s="189">
        <f t="shared" ref="K59" si="35">+IF(E59&lt;=0.12,(J61),(IF(E59&lt;0.16,((J60+2*J61+J62)/4),IF(E59&gt;=0.16,((J59+3*J60+2*J61+3*J62+J63)/10)))))</f>
        <v>1.1719999999999999</v>
      </c>
      <c r="L59" s="189">
        <f>ROUND(+(D54+D59)/2*(C59-C54),3)</f>
        <v>0.66700000000000004</v>
      </c>
      <c r="M59" s="189">
        <f>ROUND(+K59*L59,4)</f>
        <v>0.78169999999999995</v>
      </c>
      <c r="N59" s="192">
        <f t="shared" ref="N59" si="36">ROUND(+M59/$M$138*100,2)</f>
        <v>6.93</v>
      </c>
      <c r="O59" s="193"/>
      <c r="P59" s="194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0"/>
      <c r="C60" s="190"/>
      <c r="D60" s="190"/>
      <c r="E60" s="190"/>
      <c r="F60" s="41" t="s">
        <v>76</v>
      </c>
      <c r="G60" s="42">
        <f t="shared" ref="G60" si="37">IF(E59&lt;0.125,"NA",IF(0.125&lt;=E59,(0.2*E59)))</f>
        <v>0.11359999999999999</v>
      </c>
      <c r="H60" s="43"/>
      <c r="I60" s="44"/>
      <c r="J60" s="45">
        <v>1.125</v>
      </c>
      <c r="K60" s="190"/>
      <c r="L60" s="190"/>
      <c r="M60" s="190"/>
      <c r="N60" s="190"/>
      <c r="O60" s="190"/>
      <c r="P60" s="195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0"/>
      <c r="C61" s="190"/>
      <c r="D61" s="190"/>
      <c r="E61" s="190"/>
      <c r="F61" s="41" t="s">
        <v>77</v>
      </c>
      <c r="G61" s="42">
        <f t="shared" ref="G61" si="38">+E59*0.4</f>
        <v>0.22719999999999999</v>
      </c>
      <c r="H61" s="43"/>
      <c r="I61" s="44"/>
      <c r="J61" s="45">
        <v>1.1739999999999999</v>
      </c>
      <c r="K61" s="190"/>
      <c r="L61" s="190"/>
      <c r="M61" s="190"/>
      <c r="N61" s="190"/>
      <c r="O61" s="190"/>
      <c r="P61" s="195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0"/>
      <c r="C62" s="190"/>
      <c r="D62" s="190"/>
      <c r="E62" s="190"/>
      <c r="F62" s="41" t="s">
        <v>78</v>
      </c>
      <c r="G62" s="42">
        <f t="shared" ref="G62" si="39">IF(E59&lt;0.125,"NA",IF(0.125&lt;=E59,(0.8*E59)))</f>
        <v>0.45439999999999997</v>
      </c>
      <c r="H62" s="43"/>
      <c r="I62" s="44"/>
      <c r="J62" s="45">
        <v>1.3089999999999999</v>
      </c>
      <c r="K62" s="190"/>
      <c r="L62" s="190"/>
      <c r="M62" s="190"/>
      <c r="N62" s="190"/>
      <c r="O62" s="190"/>
      <c r="P62" s="195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1"/>
      <c r="C63" s="191"/>
      <c r="D63" s="191"/>
      <c r="E63" s="191"/>
      <c r="F63" s="46" t="s">
        <v>79</v>
      </c>
      <c r="G63" s="47">
        <f t="shared" ref="G63" si="40">+E59</f>
        <v>0.56799999999999995</v>
      </c>
      <c r="H63" s="48"/>
      <c r="I63" s="49"/>
      <c r="J63" s="50">
        <v>1.216</v>
      </c>
      <c r="K63" s="191"/>
      <c r="L63" s="191"/>
      <c r="M63" s="191"/>
      <c r="N63" s="191"/>
      <c r="O63" s="191"/>
      <c r="P63" s="196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9">
        <v>10</v>
      </c>
      <c r="C64" s="212">
        <f t="shared" ref="C64" si="41">+C59+$N$12</f>
        <v>11.02</v>
      </c>
      <c r="D64" s="189">
        <v>0.64</v>
      </c>
      <c r="E64" s="189">
        <v>0.76400000000000001</v>
      </c>
      <c r="F64" s="36" t="s">
        <v>75</v>
      </c>
      <c r="G64" s="37">
        <v>0</v>
      </c>
      <c r="H64" s="38"/>
      <c r="I64" s="39"/>
      <c r="J64" s="40">
        <v>0.61099999999999999</v>
      </c>
      <c r="K64" s="189">
        <f t="shared" ref="K64" si="42">+IF(E64&lt;=0.12,(J66),(IF(E64&lt;0.16,((J65+2*J66+J67)/4),IF(E64&gt;=0.16,((J64+3*J65+2*J66+3*J67+J68)/10)))))</f>
        <v>1.1641999999999999</v>
      </c>
      <c r="L64" s="189">
        <f>ROUND(+(D59+D64)/2*(C64-C59),3)</f>
        <v>0.56200000000000006</v>
      </c>
      <c r="M64" s="189">
        <f>ROUND(+K64*L64,4)</f>
        <v>0.65429999999999999</v>
      </c>
      <c r="N64" s="192">
        <f t="shared" ref="N64" si="43">ROUND(+M64/$M$138*100,2)</f>
        <v>5.8</v>
      </c>
      <c r="O64" s="193"/>
      <c r="P64" s="194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0"/>
      <c r="C65" s="190"/>
      <c r="D65" s="190"/>
      <c r="E65" s="190"/>
      <c r="F65" s="41" t="s">
        <v>76</v>
      </c>
      <c r="G65" s="42">
        <f t="shared" ref="G65" si="44">IF(E64&lt;0.125,"NA",IF(0.125&lt;=E64,(0.2*E64)))</f>
        <v>0.15280000000000002</v>
      </c>
      <c r="H65" s="43"/>
      <c r="I65" s="44"/>
      <c r="J65" s="45">
        <v>1.036</v>
      </c>
      <c r="K65" s="190"/>
      <c r="L65" s="190"/>
      <c r="M65" s="190"/>
      <c r="N65" s="190"/>
      <c r="O65" s="190"/>
      <c r="P65" s="195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0"/>
      <c r="C66" s="190"/>
      <c r="D66" s="190"/>
      <c r="E66" s="190"/>
      <c r="F66" s="41" t="s">
        <v>77</v>
      </c>
      <c r="G66" s="42">
        <f t="shared" ref="G66" si="45">+E64*0.4</f>
        <v>0.30560000000000004</v>
      </c>
      <c r="H66" s="43"/>
      <c r="I66" s="44"/>
      <c r="J66" s="45">
        <v>1.1579999999999999</v>
      </c>
      <c r="K66" s="190"/>
      <c r="L66" s="190"/>
      <c r="M66" s="190"/>
      <c r="N66" s="190"/>
      <c r="O66" s="190"/>
      <c r="P66" s="195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0"/>
      <c r="C67" s="190"/>
      <c r="D67" s="190"/>
      <c r="E67" s="190"/>
      <c r="F67" s="41" t="s">
        <v>78</v>
      </c>
      <c r="G67" s="42">
        <f t="shared" ref="G67" si="46">IF(E64&lt;0.125,"NA",IF(0.125&lt;=E64,(0.8*E64)))</f>
        <v>0.61120000000000008</v>
      </c>
      <c r="H67" s="43"/>
      <c r="I67" s="44"/>
      <c r="J67" s="45">
        <v>1.423</v>
      </c>
      <c r="K67" s="190"/>
      <c r="L67" s="190"/>
      <c r="M67" s="190"/>
      <c r="N67" s="190"/>
      <c r="O67" s="190"/>
      <c r="P67" s="195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1"/>
      <c r="C68" s="191"/>
      <c r="D68" s="191"/>
      <c r="E68" s="191"/>
      <c r="F68" s="46" t="s">
        <v>79</v>
      </c>
      <c r="G68" s="47">
        <f t="shared" ref="G68" si="47">+E64</f>
        <v>0.76400000000000001</v>
      </c>
      <c r="H68" s="48"/>
      <c r="I68" s="49"/>
      <c r="J68" s="50">
        <v>1.3380000000000001</v>
      </c>
      <c r="K68" s="191"/>
      <c r="L68" s="191"/>
      <c r="M68" s="191"/>
      <c r="N68" s="191"/>
      <c r="O68" s="191"/>
      <c r="P68" s="196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9">
        <v>11</v>
      </c>
      <c r="C69" s="212">
        <f t="shared" ref="C69" si="48">+C64+$N$12</f>
        <v>12.02</v>
      </c>
      <c r="D69" s="189">
        <v>0.48399999999999999</v>
      </c>
      <c r="E69" s="189">
        <v>0.63</v>
      </c>
      <c r="F69" s="36" t="s">
        <v>75</v>
      </c>
      <c r="G69" s="37">
        <v>0</v>
      </c>
      <c r="H69" s="38"/>
      <c r="I69" s="39"/>
      <c r="J69" s="40">
        <v>0.57299999999999995</v>
      </c>
      <c r="K69" s="189">
        <f t="shared" ref="K69" si="49">+IF(E69&lt;=0.12,(J71),(IF(E69&lt;0.16,((J70+2*J71+J72)/4),IF(E69&gt;=0.16,((J69+3*J70+2*J71+3*J72+J73)/10)))))</f>
        <v>1.2075</v>
      </c>
      <c r="L69" s="189">
        <f>ROUND(+(D64+D69)/2*(C69-C64),3)</f>
        <v>0.56200000000000006</v>
      </c>
      <c r="M69" s="189">
        <f>ROUND(+K69*L69,4)</f>
        <v>0.67859999999999998</v>
      </c>
      <c r="N69" s="192">
        <f t="shared" ref="N69" si="50">ROUND(+M69/$M$138*100,2)</f>
        <v>6.02</v>
      </c>
      <c r="O69" s="193"/>
      <c r="P69" s="194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0"/>
      <c r="C70" s="190"/>
      <c r="D70" s="190"/>
      <c r="E70" s="190"/>
      <c r="F70" s="41" t="s">
        <v>76</v>
      </c>
      <c r="G70" s="42">
        <f t="shared" ref="G70" si="51">IF(E69&lt;0.125,"NA",IF(0.125&lt;=E69,(0.2*E69)))</f>
        <v>0.126</v>
      </c>
      <c r="H70" s="43"/>
      <c r="I70" s="44"/>
      <c r="J70" s="45">
        <v>0.98599999999999999</v>
      </c>
      <c r="K70" s="190"/>
      <c r="L70" s="190"/>
      <c r="M70" s="190"/>
      <c r="N70" s="190"/>
      <c r="O70" s="190"/>
      <c r="P70" s="195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0"/>
      <c r="C71" s="190"/>
      <c r="D71" s="190"/>
      <c r="E71" s="190"/>
      <c r="F71" s="41" t="s">
        <v>77</v>
      </c>
      <c r="G71" s="42">
        <f t="shared" ref="G71" si="52">+E69*0.4</f>
        <v>0.252</v>
      </c>
      <c r="H71" s="43"/>
      <c r="I71" s="44"/>
      <c r="J71" s="45">
        <v>1.1619999999999999</v>
      </c>
      <c r="K71" s="190"/>
      <c r="L71" s="190"/>
      <c r="M71" s="190"/>
      <c r="N71" s="190"/>
      <c r="O71" s="190"/>
      <c r="P71" s="195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0"/>
      <c r="C72" s="190"/>
      <c r="D72" s="190"/>
      <c r="E72" s="190"/>
      <c r="F72" s="41" t="s">
        <v>78</v>
      </c>
      <c r="G72" s="42">
        <f t="shared" ref="G72" si="53">IF(E69&lt;0.125,"NA",IF(0.125&lt;=E69,(0.8*E69)))</f>
        <v>0.504</v>
      </c>
      <c r="H72" s="43"/>
      <c r="I72" s="44"/>
      <c r="J72" s="45">
        <v>1.59</v>
      </c>
      <c r="K72" s="190"/>
      <c r="L72" s="190"/>
      <c r="M72" s="190"/>
      <c r="N72" s="190"/>
      <c r="O72" s="190"/>
      <c r="P72" s="195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1"/>
      <c r="C73" s="191"/>
      <c r="D73" s="191"/>
      <c r="E73" s="191"/>
      <c r="F73" s="46" t="s">
        <v>79</v>
      </c>
      <c r="G73" s="47">
        <f t="shared" ref="G73" si="54">+E69</f>
        <v>0.63</v>
      </c>
      <c r="H73" s="48"/>
      <c r="I73" s="49"/>
      <c r="J73" s="50">
        <v>1.45</v>
      </c>
      <c r="K73" s="191"/>
      <c r="L73" s="191"/>
      <c r="M73" s="191"/>
      <c r="N73" s="191"/>
      <c r="O73" s="191"/>
      <c r="P73" s="196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9">
        <v>12</v>
      </c>
      <c r="C74" s="212">
        <f t="shared" ref="C74" si="55">+C69+$N$12</f>
        <v>13.02</v>
      </c>
      <c r="D74" s="189">
        <v>0.52</v>
      </c>
      <c r="E74" s="189">
        <v>0.60299999999999998</v>
      </c>
      <c r="F74" s="36" t="s">
        <v>75</v>
      </c>
      <c r="G74" s="37">
        <v>0</v>
      </c>
      <c r="H74" s="38"/>
      <c r="I74" s="39"/>
      <c r="J74" s="40">
        <v>0.53700000000000003</v>
      </c>
      <c r="K74" s="189">
        <f t="shared" ref="K74" si="56">+IF(E74&lt;=0.12,(J76),(IF(E74&lt;0.16,((J75+2*J76+J77)/4),IF(E74&gt;=0.16,((J74+3*J75+2*J76+3*J77+J78)/10)))))</f>
        <v>1.0004000000000002</v>
      </c>
      <c r="L74" s="189">
        <f>ROUND(+(D69+D74)/2*(C74-C69),3)</f>
        <v>0.502</v>
      </c>
      <c r="M74" s="189">
        <f>ROUND(+K74*L74,4)</f>
        <v>0.50219999999999998</v>
      </c>
      <c r="N74" s="192">
        <f t="shared" ref="N74" si="57">ROUND(+M74/$M$138*100,2)</f>
        <v>4.45</v>
      </c>
      <c r="O74" s="193"/>
      <c r="P74" s="194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0"/>
      <c r="C75" s="190"/>
      <c r="D75" s="190"/>
      <c r="E75" s="190"/>
      <c r="F75" s="41" t="s">
        <v>76</v>
      </c>
      <c r="G75" s="42">
        <f t="shared" ref="G75" si="58">IF(E74&lt;0.125,"NA",IF(0.125&lt;=E74,(0.2*E74)))</f>
        <v>0.1206</v>
      </c>
      <c r="H75" s="43"/>
      <c r="I75" s="44"/>
      <c r="J75" s="45">
        <v>0.85</v>
      </c>
      <c r="K75" s="190"/>
      <c r="L75" s="190"/>
      <c r="M75" s="190"/>
      <c r="N75" s="190"/>
      <c r="O75" s="190"/>
      <c r="P75" s="195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0"/>
      <c r="C76" s="190"/>
      <c r="D76" s="190"/>
      <c r="E76" s="190"/>
      <c r="F76" s="41" t="s">
        <v>77</v>
      </c>
      <c r="G76" s="42">
        <f t="shared" ref="G76" si="59">+E74*0.4</f>
        <v>0.2412</v>
      </c>
      <c r="H76" s="43"/>
      <c r="I76" s="44"/>
      <c r="J76" s="45">
        <v>1.014</v>
      </c>
      <c r="K76" s="190"/>
      <c r="L76" s="190"/>
      <c r="M76" s="190"/>
      <c r="N76" s="190"/>
      <c r="O76" s="190"/>
      <c r="P76" s="195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0"/>
      <c r="C77" s="190"/>
      <c r="D77" s="190"/>
      <c r="E77" s="190"/>
      <c r="F77" s="41" t="s">
        <v>78</v>
      </c>
      <c r="G77" s="42">
        <f t="shared" ref="G77" si="60">IF(E74&lt;0.125,"NA",IF(0.125&lt;=E74,(0.8*E74)))</f>
        <v>0.4824</v>
      </c>
      <c r="H77" s="43"/>
      <c r="I77" s="44"/>
      <c r="J77" s="45">
        <v>1.2250000000000001</v>
      </c>
      <c r="K77" s="190"/>
      <c r="L77" s="190"/>
      <c r="M77" s="190"/>
      <c r="N77" s="190"/>
      <c r="O77" s="190"/>
      <c r="P77" s="195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1"/>
      <c r="C78" s="191"/>
      <c r="D78" s="191"/>
      <c r="E78" s="191"/>
      <c r="F78" s="46" t="s">
        <v>79</v>
      </c>
      <c r="G78" s="47">
        <f t="shared" ref="G78" si="61">+E74</f>
        <v>0.60299999999999998</v>
      </c>
      <c r="H78" s="48"/>
      <c r="I78" s="49"/>
      <c r="J78" s="50">
        <v>1.214</v>
      </c>
      <c r="K78" s="191"/>
      <c r="L78" s="191"/>
      <c r="M78" s="191"/>
      <c r="N78" s="191"/>
      <c r="O78" s="191"/>
      <c r="P78" s="196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9">
        <v>13</v>
      </c>
      <c r="C79" s="212">
        <f t="shared" ref="C79" si="62">+C74+$N$12</f>
        <v>14.02</v>
      </c>
      <c r="D79" s="189">
        <v>0.44400000000000001</v>
      </c>
      <c r="E79" s="189">
        <v>0.54900000000000004</v>
      </c>
      <c r="F79" s="36" t="s">
        <v>75</v>
      </c>
      <c r="G79" s="37">
        <v>0</v>
      </c>
      <c r="H79" s="38"/>
      <c r="I79" s="39"/>
      <c r="J79" s="40">
        <v>0.54600000000000004</v>
      </c>
      <c r="K79" s="189">
        <f t="shared" ref="K79" si="63">+IF(E79&lt;=0.12,(J81),(IF(E79&lt;0.16,((J80+2*J81+J82)/4),IF(E79&gt;=0.16,((J79+3*J80+2*J81+3*J82+J83)/10)))))</f>
        <v>0.89859999999999984</v>
      </c>
      <c r="L79" s="189">
        <f>ROUND(+(D74+D79)/2*(C79-C74),3)</f>
        <v>0.48199999999999998</v>
      </c>
      <c r="M79" s="189">
        <f>ROUND(+K79*L79,4)</f>
        <v>0.43309999999999998</v>
      </c>
      <c r="N79" s="192">
        <f t="shared" ref="N79" si="64">ROUND(+M79/$M$138*100,2)</f>
        <v>3.84</v>
      </c>
      <c r="O79" s="193"/>
      <c r="P79" s="194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0"/>
      <c r="C80" s="190"/>
      <c r="D80" s="190"/>
      <c r="E80" s="190"/>
      <c r="F80" s="41" t="s">
        <v>76</v>
      </c>
      <c r="G80" s="42">
        <f t="shared" ref="G80" si="65">IF(E79&lt;0.125,"NA",IF(0.125&lt;=E79,(0.2*E79)))</f>
        <v>0.10980000000000001</v>
      </c>
      <c r="H80" s="43"/>
      <c r="I80" s="44"/>
      <c r="J80" s="45">
        <v>0.71299999999999997</v>
      </c>
      <c r="K80" s="190"/>
      <c r="L80" s="190"/>
      <c r="M80" s="190"/>
      <c r="N80" s="190"/>
      <c r="O80" s="190"/>
      <c r="P80" s="195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0"/>
      <c r="C81" s="190"/>
      <c r="D81" s="190"/>
      <c r="E81" s="190"/>
      <c r="F81" s="41" t="s">
        <v>77</v>
      </c>
      <c r="G81" s="42">
        <f t="shared" ref="G81" si="66">+E79*0.4</f>
        <v>0.21960000000000002</v>
      </c>
      <c r="H81" s="43"/>
      <c r="I81" s="44"/>
      <c r="J81" s="45">
        <v>1.046</v>
      </c>
      <c r="K81" s="190"/>
      <c r="L81" s="190"/>
      <c r="M81" s="190"/>
      <c r="N81" s="190"/>
      <c r="O81" s="190"/>
      <c r="P81" s="195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0"/>
      <c r="C82" s="190"/>
      <c r="D82" s="190"/>
      <c r="E82" s="190"/>
      <c r="F82" s="41" t="s">
        <v>78</v>
      </c>
      <c r="G82" s="42">
        <f t="shared" ref="G82" si="67">IF(E79&lt;0.125,"NA",IF(0.125&lt;=E79,(0.8*E79)))</f>
        <v>0.43920000000000003</v>
      </c>
      <c r="H82" s="43"/>
      <c r="I82" s="44"/>
      <c r="J82" s="45">
        <v>1.077</v>
      </c>
      <c r="K82" s="190"/>
      <c r="L82" s="190"/>
      <c r="M82" s="190"/>
      <c r="N82" s="190"/>
      <c r="O82" s="190"/>
      <c r="P82" s="195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1"/>
      <c r="C83" s="191"/>
      <c r="D83" s="191"/>
      <c r="E83" s="191"/>
      <c r="F83" s="46" t="s">
        <v>79</v>
      </c>
      <c r="G83" s="47">
        <f t="shared" ref="G83" si="68">+E79</f>
        <v>0.54900000000000004</v>
      </c>
      <c r="H83" s="48"/>
      <c r="I83" s="49"/>
      <c r="J83" s="50">
        <v>0.97799999999999998</v>
      </c>
      <c r="K83" s="191"/>
      <c r="L83" s="191"/>
      <c r="M83" s="191"/>
      <c r="N83" s="191"/>
      <c r="O83" s="191"/>
      <c r="P83" s="196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9">
        <v>14</v>
      </c>
      <c r="C84" s="212">
        <f t="shared" ref="C84" si="69">+C79+$N$12</f>
        <v>15.02</v>
      </c>
      <c r="D84" s="189">
        <v>0.69</v>
      </c>
      <c r="E84" s="189">
        <v>0.627</v>
      </c>
      <c r="F84" s="36" t="s">
        <v>75</v>
      </c>
      <c r="G84" s="37">
        <v>0</v>
      </c>
      <c r="H84" s="38"/>
      <c r="I84" s="39"/>
      <c r="J84" s="40">
        <v>0.46100000000000002</v>
      </c>
      <c r="K84" s="189">
        <f t="shared" ref="K84" si="70">+IF(E84&lt;=0.12,(J86),(IF(E84&lt;0.16,((J85+2*J86+J87)/4),IF(E84&gt;=0.16,((J84+3*J85+2*J86+3*J87+J88)/10)))))</f>
        <v>0.80619999999999992</v>
      </c>
      <c r="L84" s="189">
        <f>ROUND(+(D79+D84)/2*(C84-C79),3)</f>
        <v>0.56699999999999995</v>
      </c>
      <c r="M84" s="189">
        <f>ROUND(+K84*L84,4)</f>
        <v>0.45710000000000001</v>
      </c>
      <c r="N84" s="192">
        <f t="shared" ref="N84" si="71">ROUND(+M84/$M$138*100,2)</f>
        <v>4.05</v>
      </c>
      <c r="O84" s="193"/>
      <c r="P84" s="194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0"/>
      <c r="C85" s="190"/>
      <c r="D85" s="190"/>
      <c r="E85" s="190"/>
      <c r="F85" s="41" t="s">
        <v>76</v>
      </c>
      <c r="G85" s="42">
        <f t="shared" ref="G85" si="72">IF(E84&lt;0.125,"NA",IF(0.125&lt;=E84,(0.2*E84)))</f>
        <v>0.12540000000000001</v>
      </c>
      <c r="H85" s="43"/>
      <c r="I85" s="44"/>
      <c r="J85" s="45">
        <v>0.69</v>
      </c>
      <c r="K85" s="190"/>
      <c r="L85" s="190"/>
      <c r="M85" s="190"/>
      <c r="N85" s="190"/>
      <c r="O85" s="190"/>
      <c r="P85" s="195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0"/>
      <c r="C86" s="190"/>
      <c r="D86" s="190"/>
      <c r="E86" s="190"/>
      <c r="F86" s="41" t="s">
        <v>77</v>
      </c>
      <c r="G86" s="42">
        <f t="shared" ref="G86" si="73">+E84*0.4</f>
        <v>0.25080000000000002</v>
      </c>
      <c r="H86" s="43"/>
      <c r="I86" s="44"/>
      <c r="J86" s="45">
        <v>0.90800000000000003</v>
      </c>
      <c r="K86" s="190"/>
      <c r="L86" s="190"/>
      <c r="M86" s="190"/>
      <c r="N86" s="190"/>
      <c r="O86" s="190"/>
      <c r="P86" s="195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0"/>
      <c r="C87" s="190"/>
      <c r="D87" s="190"/>
      <c r="E87" s="190"/>
      <c r="F87" s="41" t="s">
        <v>78</v>
      </c>
      <c r="G87" s="42">
        <f t="shared" ref="G87" si="74">IF(E84&lt;0.125,"NA",IF(0.125&lt;=E84,(0.8*E84)))</f>
        <v>0.50160000000000005</v>
      </c>
      <c r="H87" s="43"/>
      <c r="I87" s="44"/>
      <c r="J87" s="45">
        <v>0.93799999999999994</v>
      </c>
      <c r="K87" s="190"/>
      <c r="L87" s="190"/>
      <c r="M87" s="190"/>
      <c r="N87" s="190"/>
      <c r="O87" s="190"/>
      <c r="P87" s="195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1"/>
      <c r="C88" s="191"/>
      <c r="D88" s="191"/>
      <c r="E88" s="191"/>
      <c r="F88" s="46" t="s">
        <v>79</v>
      </c>
      <c r="G88" s="47">
        <f t="shared" ref="G88" si="75">+E84</f>
        <v>0.627</v>
      </c>
      <c r="H88" s="48"/>
      <c r="I88" s="49"/>
      <c r="J88" s="50">
        <v>0.90100000000000002</v>
      </c>
      <c r="K88" s="191"/>
      <c r="L88" s="191"/>
      <c r="M88" s="191"/>
      <c r="N88" s="191"/>
      <c r="O88" s="191"/>
      <c r="P88" s="196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09">
        <v>15</v>
      </c>
      <c r="C89" s="212">
        <f t="shared" ref="C89" si="76">+C84+$N$12</f>
        <v>16.02</v>
      </c>
      <c r="D89" s="189">
        <v>0.45600000000000002</v>
      </c>
      <c r="E89" s="189">
        <v>0.70799999999999996</v>
      </c>
      <c r="F89" s="36" t="s">
        <v>75</v>
      </c>
      <c r="G89" s="37">
        <v>0</v>
      </c>
      <c r="H89" s="38"/>
      <c r="I89" s="39"/>
      <c r="J89" s="40">
        <v>0.441</v>
      </c>
      <c r="K89" s="189">
        <f t="shared" ref="K89" si="77">+IF(E89&lt;=0.12,(J91),(IF(E89&lt;0.16,((J90+2*J91+J92)/4),IF(E89&gt;=0.16,((J89+3*J90+2*J91+3*J92+J93)/10)))))</f>
        <v>0.75639999999999996</v>
      </c>
      <c r="L89" s="189">
        <f>ROUND(+(D84+D89)/2*(C89-C84),3)</f>
        <v>0.57299999999999995</v>
      </c>
      <c r="M89" s="189">
        <f>ROUND(+K89*L89,4)</f>
        <v>0.43340000000000001</v>
      </c>
      <c r="N89" s="192">
        <f t="shared" ref="N89" si="78">ROUND(+M89/$M$138*100,2)</f>
        <v>3.84</v>
      </c>
      <c r="O89" s="193"/>
      <c r="P89" s="194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0"/>
      <c r="C90" s="190"/>
      <c r="D90" s="190"/>
      <c r="E90" s="190"/>
      <c r="F90" s="41" t="s">
        <v>76</v>
      </c>
      <c r="G90" s="42">
        <f t="shared" ref="G90" si="79">IF(E89&lt;0.125,"NA",IF(0.125&lt;=E89,(0.2*E89)))</f>
        <v>0.1416</v>
      </c>
      <c r="H90" s="43"/>
      <c r="I90" s="44"/>
      <c r="J90" s="45">
        <v>0.75600000000000001</v>
      </c>
      <c r="K90" s="190"/>
      <c r="L90" s="190"/>
      <c r="M90" s="190"/>
      <c r="N90" s="190"/>
      <c r="O90" s="190"/>
      <c r="P90" s="195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0"/>
      <c r="C91" s="190"/>
      <c r="D91" s="190"/>
      <c r="E91" s="190"/>
      <c r="F91" s="41" t="s">
        <v>77</v>
      </c>
      <c r="G91" s="42">
        <f t="shared" ref="G91" si="80">+E89*0.4</f>
        <v>0.28320000000000001</v>
      </c>
      <c r="H91" s="43"/>
      <c r="I91" s="44"/>
      <c r="J91" s="45">
        <v>0.79600000000000004</v>
      </c>
      <c r="K91" s="190"/>
      <c r="L91" s="190"/>
      <c r="M91" s="190"/>
      <c r="N91" s="190"/>
      <c r="O91" s="190"/>
      <c r="P91" s="195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0"/>
      <c r="C92" s="190"/>
      <c r="D92" s="190"/>
      <c r="E92" s="190"/>
      <c r="F92" s="41" t="s">
        <v>78</v>
      </c>
      <c r="G92" s="42">
        <f t="shared" ref="G92" si="81">IF(E89&lt;0.125,"NA",IF(0.125&lt;=E89,(0.8*E89)))</f>
        <v>0.56640000000000001</v>
      </c>
      <c r="H92" s="43"/>
      <c r="I92" s="44"/>
      <c r="J92" s="45">
        <v>0.81799999999999995</v>
      </c>
      <c r="K92" s="190"/>
      <c r="L92" s="190"/>
      <c r="M92" s="190"/>
      <c r="N92" s="190"/>
      <c r="O92" s="190"/>
      <c r="P92" s="195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1"/>
      <c r="C93" s="191"/>
      <c r="D93" s="191"/>
      <c r="E93" s="191"/>
      <c r="F93" s="46" t="s">
        <v>79</v>
      </c>
      <c r="G93" s="47">
        <f t="shared" ref="G93" si="82">+E89</f>
        <v>0.70799999999999996</v>
      </c>
      <c r="H93" s="48"/>
      <c r="I93" s="49"/>
      <c r="J93" s="50">
        <v>0.80900000000000005</v>
      </c>
      <c r="K93" s="191"/>
      <c r="L93" s="191"/>
      <c r="M93" s="191"/>
      <c r="N93" s="191"/>
      <c r="O93" s="191"/>
      <c r="P93" s="196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9">
        <v>16</v>
      </c>
      <c r="C94" s="212">
        <f t="shared" ref="C94" si="83">+C89+$N$12</f>
        <v>17.02</v>
      </c>
      <c r="D94" s="189">
        <v>0.46500000000000002</v>
      </c>
      <c r="E94" s="189">
        <v>0.55200000000000005</v>
      </c>
      <c r="F94" s="36" t="s">
        <v>75</v>
      </c>
      <c r="G94" s="37">
        <v>0</v>
      </c>
      <c r="H94" s="38"/>
      <c r="I94" s="39"/>
      <c r="J94" s="40">
        <v>0.40899999999999997</v>
      </c>
      <c r="K94" s="189">
        <f t="shared" ref="K94" si="84">+IF(E94&lt;=0.12,(J96),(IF(E94&lt;0.16,((J95+2*J96+J97)/4),IF(E94&gt;=0.16,((J94+3*J95+2*J96+3*J97+J98)/10)))))</f>
        <v>0.89300000000000002</v>
      </c>
      <c r="L94" s="189">
        <f>ROUND(+(D89+D94)/2*(C94-C89),3)</f>
        <v>0.46100000000000002</v>
      </c>
      <c r="M94" s="189">
        <f>ROUND(+K94*L94,4)</f>
        <v>0.41170000000000001</v>
      </c>
      <c r="N94" s="192">
        <f t="shared" ref="N94" si="85">ROUND(+M94/$M$138*100,2)</f>
        <v>3.65</v>
      </c>
      <c r="O94" s="193"/>
      <c r="P94" s="194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0"/>
      <c r="C95" s="190"/>
      <c r="D95" s="190"/>
      <c r="E95" s="190"/>
      <c r="F95" s="41" t="s">
        <v>76</v>
      </c>
      <c r="G95" s="42">
        <f t="shared" ref="G95" si="86">IF(E94&lt;0.125,"NA",IF(0.125&lt;=E94,(0.2*E94)))</f>
        <v>0.11040000000000001</v>
      </c>
      <c r="H95" s="43"/>
      <c r="I95" s="44"/>
      <c r="J95" s="45">
        <v>0.82199999999999995</v>
      </c>
      <c r="K95" s="190"/>
      <c r="L95" s="190"/>
      <c r="M95" s="190"/>
      <c r="N95" s="190"/>
      <c r="O95" s="190"/>
      <c r="P95" s="195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0"/>
      <c r="C96" s="190"/>
      <c r="D96" s="190"/>
      <c r="E96" s="190"/>
      <c r="F96" s="41" t="s">
        <v>77</v>
      </c>
      <c r="G96" s="42">
        <f t="shared" ref="G96" si="87">+E94*0.4</f>
        <v>0.22080000000000002</v>
      </c>
      <c r="H96" s="43"/>
      <c r="I96" s="44"/>
      <c r="J96" s="45">
        <v>0.98799999999999999</v>
      </c>
      <c r="K96" s="190"/>
      <c r="L96" s="190"/>
      <c r="M96" s="190"/>
      <c r="N96" s="190"/>
      <c r="O96" s="190"/>
      <c r="P96" s="195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0"/>
      <c r="C97" s="190"/>
      <c r="D97" s="190"/>
      <c r="E97" s="190"/>
      <c r="F97" s="41" t="s">
        <v>78</v>
      </c>
      <c r="G97" s="42">
        <f t="shared" ref="G97" si="88">IF(E94&lt;0.125,"NA",IF(0.125&lt;=E94,(0.8*E94)))</f>
        <v>0.44160000000000005</v>
      </c>
      <c r="H97" s="43"/>
      <c r="I97" s="44"/>
      <c r="J97" s="45">
        <v>1.0169999999999999</v>
      </c>
      <c r="K97" s="190"/>
      <c r="L97" s="190"/>
      <c r="M97" s="190"/>
      <c r="N97" s="190"/>
      <c r="O97" s="190"/>
      <c r="P97" s="195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1"/>
      <c r="C98" s="191"/>
      <c r="D98" s="191"/>
      <c r="E98" s="191"/>
      <c r="F98" s="46" t="s">
        <v>79</v>
      </c>
      <c r="G98" s="47">
        <f t="shared" ref="G98" si="89">+E94</f>
        <v>0.55200000000000005</v>
      </c>
      <c r="H98" s="48"/>
      <c r="I98" s="49"/>
      <c r="J98" s="50">
        <v>1.028</v>
      </c>
      <c r="K98" s="191"/>
      <c r="L98" s="191"/>
      <c r="M98" s="191"/>
      <c r="N98" s="191"/>
      <c r="O98" s="191"/>
      <c r="P98" s="196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9">
        <v>17</v>
      </c>
      <c r="C99" s="212">
        <f t="shared" ref="C99" si="90">+C94+$N$12</f>
        <v>18.02</v>
      </c>
      <c r="D99" s="189">
        <v>0.40699999999999997</v>
      </c>
      <c r="E99" s="189">
        <v>0.56499999999999995</v>
      </c>
      <c r="F99" s="36" t="s">
        <v>75</v>
      </c>
      <c r="G99" s="37">
        <v>0</v>
      </c>
      <c r="H99" s="38"/>
      <c r="I99" s="39"/>
      <c r="J99" s="40">
        <v>0.41399999999999998</v>
      </c>
      <c r="K99" s="189">
        <f t="shared" ref="K99" si="91">+IF(E99&lt;=0.12,(J101),(IF(E99&lt;0.16,((J100+2*J101+J102)/4),IF(E99&gt;=0.16,((J99+3*J100+2*J101+3*J102+J103)/10)))))</f>
        <v>0.52520000000000011</v>
      </c>
      <c r="L99" s="189">
        <f>ROUND(+(D94+D99)/2*(C99-C94),3)</f>
        <v>0.436</v>
      </c>
      <c r="M99" s="189">
        <f>ROUND(+K99*L99,4)</f>
        <v>0.22900000000000001</v>
      </c>
      <c r="N99" s="192">
        <f t="shared" ref="N99" si="92">ROUND(+M99/$M$138*100,2)</f>
        <v>2.0299999999999998</v>
      </c>
      <c r="O99" s="193"/>
      <c r="P99" s="194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0"/>
      <c r="C100" s="190"/>
      <c r="D100" s="190"/>
      <c r="E100" s="190"/>
      <c r="F100" s="41" t="s">
        <v>76</v>
      </c>
      <c r="G100" s="42">
        <f t="shared" ref="G100" si="93">IF(E99&lt;0.125,"NA",IF(0.125&lt;=E99,(0.2*E99)))</f>
        <v>0.11299999999999999</v>
      </c>
      <c r="H100" s="43"/>
      <c r="I100" s="44"/>
      <c r="J100" s="45">
        <v>0.379</v>
      </c>
      <c r="K100" s="190"/>
      <c r="L100" s="190"/>
      <c r="M100" s="190"/>
      <c r="N100" s="190"/>
      <c r="O100" s="190"/>
      <c r="P100" s="195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0"/>
      <c r="C101" s="190"/>
      <c r="D101" s="190"/>
      <c r="E101" s="190"/>
      <c r="F101" s="41" t="s">
        <v>77</v>
      </c>
      <c r="G101" s="42">
        <f t="shared" ref="G101" si="94">+E99*0.4</f>
        <v>0.22599999999999998</v>
      </c>
      <c r="H101" s="43"/>
      <c r="I101" s="44"/>
      <c r="J101" s="45">
        <v>0.50800000000000001</v>
      </c>
      <c r="K101" s="190"/>
      <c r="L101" s="190"/>
      <c r="M101" s="190"/>
      <c r="N101" s="190"/>
      <c r="O101" s="190"/>
      <c r="P101" s="195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0"/>
      <c r="C102" s="190"/>
      <c r="D102" s="190"/>
      <c r="E102" s="190"/>
      <c r="F102" s="41" t="s">
        <v>78</v>
      </c>
      <c r="G102" s="42">
        <f t="shared" ref="G102" si="95">IF(E99&lt;0.125,"NA",IF(0.125&lt;=E99,(0.8*E99)))</f>
        <v>0.45199999999999996</v>
      </c>
      <c r="H102" s="43"/>
      <c r="I102" s="44"/>
      <c r="J102" s="45">
        <v>0.626</v>
      </c>
      <c r="K102" s="190"/>
      <c r="L102" s="190"/>
      <c r="M102" s="190"/>
      <c r="N102" s="190"/>
      <c r="O102" s="190"/>
      <c r="P102" s="195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1"/>
      <c r="C103" s="191"/>
      <c r="D103" s="191"/>
      <c r="E103" s="191"/>
      <c r="F103" s="46" t="s">
        <v>79</v>
      </c>
      <c r="G103" s="47">
        <f t="shared" ref="G103" si="96">+E99</f>
        <v>0.56499999999999995</v>
      </c>
      <c r="H103" s="48"/>
      <c r="I103" s="49"/>
      <c r="J103" s="50">
        <v>0.80700000000000005</v>
      </c>
      <c r="K103" s="191"/>
      <c r="L103" s="191"/>
      <c r="M103" s="191"/>
      <c r="N103" s="191"/>
      <c r="O103" s="191"/>
      <c r="P103" s="196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09">
        <v>18</v>
      </c>
      <c r="C104" s="212">
        <f t="shared" ref="C104" si="97">+C99+$N$12</f>
        <v>19.02</v>
      </c>
      <c r="D104" s="189">
        <v>0.42299999999999999</v>
      </c>
      <c r="E104" s="189">
        <v>0.46</v>
      </c>
      <c r="F104" s="36" t="s">
        <v>75</v>
      </c>
      <c r="G104" s="37">
        <v>0</v>
      </c>
      <c r="H104" s="38"/>
      <c r="I104" s="39"/>
      <c r="J104" s="40">
        <v>0.39800000000000002</v>
      </c>
      <c r="K104" s="189">
        <f t="shared" ref="K104" si="98">+IF(E104&lt;=0.12,(J106),(IF(E104&lt;0.16,((J105+2*J106+J107)/4),IF(E104&gt;=0.16,((J104+3*J105+2*J106+3*J107+J108)/10)))))</f>
        <v>0.70559999999999989</v>
      </c>
      <c r="L104" s="189">
        <f>ROUND(+(D99+D104)/2*(C104-C99),3)</f>
        <v>0.41499999999999998</v>
      </c>
      <c r="M104" s="189">
        <f>ROUND(+K104*L104,4)</f>
        <v>0.2928</v>
      </c>
      <c r="N104" s="192">
        <f t="shared" ref="N104" si="99">ROUND(+M104/$M$138*100,2)</f>
        <v>2.6</v>
      </c>
      <c r="O104" s="193"/>
      <c r="P104" s="194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0"/>
      <c r="C105" s="190"/>
      <c r="D105" s="190"/>
      <c r="E105" s="190"/>
      <c r="F105" s="41" t="s">
        <v>76</v>
      </c>
      <c r="G105" s="42">
        <f t="shared" ref="G105" si="100">IF(E104&lt;0.125,"NA",IF(0.125&lt;=E104,(0.2*E104)))</f>
        <v>9.2000000000000012E-2</v>
      </c>
      <c r="H105" s="43"/>
      <c r="I105" s="44"/>
      <c r="J105" s="45">
        <v>0.54600000000000004</v>
      </c>
      <c r="K105" s="190"/>
      <c r="L105" s="190"/>
      <c r="M105" s="190"/>
      <c r="N105" s="190"/>
      <c r="O105" s="190"/>
      <c r="P105" s="195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0"/>
      <c r="C106" s="190"/>
      <c r="D106" s="190"/>
      <c r="E106" s="190"/>
      <c r="F106" s="41" t="s">
        <v>77</v>
      </c>
      <c r="G106" s="42">
        <f t="shared" ref="G106" si="101">+E104*0.4</f>
        <v>0.18400000000000002</v>
      </c>
      <c r="H106" s="43"/>
      <c r="I106" s="44"/>
      <c r="J106" s="45">
        <v>0.68799999999999994</v>
      </c>
      <c r="K106" s="190"/>
      <c r="L106" s="190"/>
      <c r="M106" s="190"/>
      <c r="N106" s="190"/>
      <c r="O106" s="190"/>
      <c r="P106" s="195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0"/>
      <c r="C107" s="190"/>
      <c r="D107" s="190"/>
      <c r="E107" s="190"/>
      <c r="F107" s="41" t="s">
        <v>78</v>
      </c>
      <c r="G107" s="42">
        <f t="shared" ref="G107" si="102">IF(E104&lt;0.125,"NA",IF(0.125&lt;=E104,(0.8*E104)))</f>
        <v>0.36800000000000005</v>
      </c>
      <c r="H107" s="43"/>
      <c r="I107" s="44"/>
      <c r="J107" s="45">
        <v>0.96599999999999997</v>
      </c>
      <c r="K107" s="190"/>
      <c r="L107" s="190"/>
      <c r="M107" s="190"/>
      <c r="N107" s="190"/>
      <c r="O107" s="190"/>
      <c r="P107" s="195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1"/>
      <c r="C108" s="191"/>
      <c r="D108" s="191"/>
      <c r="E108" s="191"/>
      <c r="F108" s="46" t="s">
        <v>79</v>
      </c>
      <c r="G108" s="47">
        <f t="shared" ref="G108" si="103">+E104</f>
        <v>0.46</v>
      </c>
      <c r="H108" s="48"/>
      <c r="I108" s="49"/>
      <c r="J108" s="50">
        <v>0.746</v>
      </c>
      <c r="K108" s="191"/>
      <c r="L108" s="191"/>
      <c r="M108" s="191"/>
      <c r="N108" s="191"/>
      <c r="O108" s="191"/>
      <c r="P108" s="196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09">
        <v>19</v>
      </c>
      <c r="C109" s="212">
        <f t="shared" ref="C109" si="104">+C104+$N$12</f>
        <v>20.02</v>
      </c>
      <c r="D109" s="189">
        <v>0.37</v>
      </c>
      <c r="E109" s="189">
        <v>0.45300000000000001</v>
      </c>
      <c r="F109" s="36" t="s">
        <v>75</v>
      </c>
      <c r="G109" s="37">
        <v>0</v>
      </c>
      <c r="H109" s="38"/>
      <c r="I109" s="39"/>
      <c r="J109" s="40">
        <v>0.20599999999999999</v>
      </c>
      <c r="K109" s="189">
        <f>+IF(E109&lt;=0.12,(J111),(IF(E109&lt;0.16,((J110+2*J111+J112)/4),IF(E109&gt;=0.16,((J109+3*J110+2*J111+3*J112+J113)/10)))))</f>
        <v>0.80689999999999995</v>
      </c>
      <c r="L109" s="189">
        <f>ROUND(+(D104+D109)/2*(C109-C104),3)</f>
        <v>0.39700000000000002</v>
      </c>
      <c r="M109" s="189">
        <f>ROUND(+K109*L109,4)</f>
        <v>0.32029999999999997</v>
      </c>
      <c r="N109" s="192">
        <f>ROUND(+M109/$M$138*100,2)</f>
        <v>2.84</v>
      </c>
      <c r="O109" s="193"/>
      <c r="P109" s="194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10"/>
      <c r="C110" s="190"/>
      <c r="D110" s="190"/>
      <c r="E110" s="190"/>
      <c r="F110" s="41" t="s">
        <v>76</v>
      </c>
      <c r="G110" s="42">
        <f>IF(E109&lt;0.125,"NA",IF(0.125&lt;=E109,(0.2*E109)))</f>
        <v>9.0600000000000014E-2</v>
      </c>
      <c r="H110" s="43"/>
      <c r="I110" s="44"/>
      <c r="J110" s="45">
        <v>0.66800000000000004</v>
      </c>
      <c r="K110" s="190"/>
      <c r="L110" s="190"/>
      <c r="M110" s="190"/>
      <c r="N110" s="190"/>
      <c r="O110" s="190"/>
      <c r="P110" s="195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10"/>
      <c r="C111" s="190"/>
      <c r="D111" s="190"/>
      <c r="E111" s="190"/>
      <c r="F111" s="41" t="s">
        <v>77</v>
      </c>
      <c r="G111" s="42">
        <f>+E109*0.4</f>
        <v>0.18120000000000003</v>
      </c>
      <c r="H111" s="43"/>
      <c r="I111" s="44"/>
      <c r="J111" s="45">
        <v>0.96599999999999997</v>
      </c>
      <c r="K111" s="190"/>
      <c r="L111" s="190"/>
      <c r="M111" s="190"/>
      <c r="N111" s="190"/>
      <c r="O111" s="190"/>
      <c r="P111" s="195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10"/>
      <c r="C112" s="190"/>
      <c r="D112" s="190"/>
      <c r="E112" s="190"/>
      <c r="F112" s="41" t="s">
        <v>78</v>
      </c>
      <c r="G112" s="42">
        <f>IF(E109&lt;0.125,"NA",IF(0.125&lt;=E109,(0.8*E109)))</f>
        <v>0.36240000000000006</v>
      </c>
      <c r="H112" s="43"/>
      <c r="I112" s="44"/>
      <c r="J112" s="45">
        <v>0.998</v>
      </c>
      <c r="K112" s="190"/>
      <c r="L112" s="190"/>
      <c r="M112" s="190"/>
      <c r="N112" s="190"/>
      <c r="O112" s="190"/>
      <c r="P112" s="195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11"/>
      <c r="C113" s="191"/>
      <c r="D113" s="191"/>
      <c r="E113" s="191"/>
      <c r="F113" s="46" t="s">
        <v>79</v>
      </c>
      <c r="G113" s="47">
        <f>+E109</f>
        <v>0.45300000000000001</v>
      </c>
      <c r="H113" s="48"/>
      <c r="I113" s="49"/>
      <c r="J113" s="50">
        <v>0.93300000000000005</v>
      </c>
      <c r="K113" s="191"/>
      <c r="L113" s="191"/>
      <c r="M113" s="191"/>
      <c r="N113" s="191"/>
      <c r="O113" s="191"/>
      <c r="P113" s="196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5" customFormat="1" ht="13.5" customHeight="1" x14ac:dyDescent="0.25">
      <c r="A114" s="27"/>
      <c r="B114" s="209">
        <v>20</v>
      </c>
      <c r="C114" s="212">
        <f>+C109+1.5</f>
        <v>21.52</v>
      </c>
      <c r="D114" s="189">
        <v>0</v>
      </c>
      <c r="E114" s="189">
        <v>0.28399999999999997</v>
      </c>
      <c r="F114" s="36" t="s">
        <v>75</v>
      </c>
      <c r="G114" s="37">
        <v>0</v>
      </c>
      <c r="H114" s="38"/>
      <c r="I114" s="39"/>
      <c r="J114" s="40">
        <v>6.699999999999999E-2</v>
      </c>
      <c r="K114" s="189">
        <f>+IF(E114&lt;=0.12,(J116),(IF(E114&lt;0.16,((J115+2*J116+J117)/4),IF(E114&gt;=0.16,((J114+3*J115+2*J116+3*J117+J118)/10)))))</f>
        <v>0.27100000000000002</v>
      </c>
      <c r="L114" s="189">
        <f>ROUND(+(D109+D114)/2*(C114-C109),3)</f>
        <v>0.27800000000000002</v>
      </c>
      <c r="M114" s="189">
        <f>ROUND(+K114*L114,4)</f>
        <v>7.5300000000000006E-2</v>
      </c>
      <c r="N114" s="192">
        <f>ROUND(+M114/$M$138*100,2)</f>
        <v>0.67</v>
      </c>
      <c r="O114" s="193"/>
      <c r="P114" s="194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s="35" customFormat="1" ht="13.5" customHeight="1" x14ac:dyDescent="0.25">
      <c r="A115" s="27"/>
      <c r="B115" s="210"/>
      <c r="C115" s="190"/>
      <c r="D115" s="190"/>
      <c r="E115" s="190"/>
      <c r="F115" s="41" t="s">
        <v>76</v>
      </c>
      <c r="G115" s="42">
        <f>IF(E114&lt;0.125,"NA",IF(0.125&lt;=E114,(0.2*E114)))</f>
        <v>5.6799999999999996E-2</v>
      </c>
      <c r="H115" s="43"/>
      <c r="I115" s="44"/>
      <c r="J115" s="45">
        <v>0.218</v>
      </c>
      <c r="K115" s="190"/>
      <c r="L115" s="190"/>
      <c r="M115" s="190"/>
      <c r="N115" s="190"/>
      <c r="O115" s="190"/>
      <c r="P115" s="195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s="35" customFormat="1" ht="13.5" customHeight="1" x14ac:dyDescent="0.25">
      <c r="A116" s="27"/>
      <c r="B116" s="210"/>
      <c r="C116" s="190"/>
      <c r="D116" s="190"/>
      <c r="E116" s="190"/>
      <c r="F116" s="41" t="s">
        <v>77</v>
      </c>
      <c r="G116" s="42">
        <f>+E114*0.4</f>
        <v>0.11359999999999999</v>
      </c>
      <c r="H116" s="43"/>
      <c r="I116" s="44"/>
      <c r="J116" s="45">
        <v>0.316</v>
      </c>
      <c r="K116" s="190"/>
      <c r="L116" s="190"/>
      <c r="M116" s="190"/>
      <c r="N116" s="190"/>
      <c r="O116" s="190"/>
      <c r="P116" s="195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s="35" customFormat="1" ht="13.5" customHeight="1" x14ac:dyDescent="0.25">
      <c r="A117" s="27"/>
      <c r="B117" s="210"/>
      <c r="C117" s="190"/>
      <c r="D117" s="190"/>
      <c r="E117" s="190"/>
      <c r="F117" s="41" t="s">
        <v>78</v>
      </c>
      <c r="G117" s="42">
        <f>IF(E114&lt;0.125,"NA",IF(0.125&lt;=E114,(0.8*E114)))</f>
        <v>0.22719999999999999</v>
      </c>
      <c r="H117" s="43"/>
      <c r="I117" s="44"/>
      <c r="J117" s="45">
        <v>0.34799999999999998</v>
      </c>
      <c r="K117" s="190"/>
      <c r="L117" s="190"/>
      <c r="M117" s="190"/>
      <c r="N117" s="190"/>
      <c r="O117" s="190"/>
      <c r="P117" s="195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s="35" customFormat="1" ht="13.5" customHeight="1" thickBot="1" x14ac:dyDescent="0.3">
      <c r="A118" s="27"/>
      <c r="B118" s="211"/>
      <c r="C118" s="191"/>
      <c r="D118" s="191"/>
      <c r="E118" s="191"/>
      <c r="F118" s="46" t="s">
        <v>79</v>
      </c>
      <c r="G118" s="47">
        <f>+E114</f>
        <v>0.28399999999999997</v>
      </c>
      <c r="H118" s="48"/>
      <c r="I118" s="49"/>
      <c r="J118" s="50">
        <v>0.313</v>
      </c>
      <c r="K118" s="191"/>
      <c r="L118" s="191"/>
      <c r="M118" s="191"/>
      <c r="N118" s="191"/>
      <c r="O118" s="191"/>
      <c r="P118" s="196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s="3" customFormat="1" ht="13.5" customHeight="1" x14ac:dyDescent="0.2">
      <c r="B119" s="197" t="s">
        <v>28</v>
      </c>
      <c r="C119" s="200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2"/>
    </row>
    <row r="120" spans="1:26" s="3" customFormat="1" ht="14.1" customHeight="1" x14ac:dyDescent="0.2">
      <c r="B120" s="198"/>
      <c r="C120" s="203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5"/>
    </row>
    <row r="121" spans="1:26" s="3" customFormat="1" ht="14.1" customHeight="1" x14ac:dyDescent="0.2">
      <c r="B121" s="198"/>
      <c r="C121" s="203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5"/>
    </row>
    <row r="122" spans="1:26" s="3" customFormat="1" ht="14.1" customHeight="1" x14ac:dyDescent="0.2">
      <c r="B122" s="198"/>
      <c r="C122" s="203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5"/>
    </row>
    <row r="123" spans="1:26" s="3" customFormat="1" ht="14.1" customHeight="1" x14ac:dyDescent="0.2">
      <c r="B123" s="198"/>
      <c r="C123" s="203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5"/>
    </row>
    <row r="124" spans="1:26" s="3" customFormat="1" ht="14.1" customHeight="1" thickBot="1" x14ac:dyDescent="0.25">
      <c r="B124" s="199"/>
      <c r="C124" s="206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8"/>
    </row>
    <row r="125" spans="1:26" s="3" customFormat="1" ht="28.5" customHeight="1" thickBot="1" x14ac:dyDescent="0.25">
      <c r="A125" s="51"/>
      <c r="B125" s="52" t="s">
        <v>80</v>
      </c>
      <c r="C125" s="176" t="s">
        <v>81</v>
      </c>
      <c r="D125" s="176"/>
      <c r="E125" s="176"/>
      <c r="F125" s="176"/>
      <c r="G125" s="176"/>
      <c r="H125" s="177"/>
      <c r="I125" s="178"/>
      <c r="J125" s="52" t="s">
        <v>82</v>
      </c>
      <c r="K125" s="176" t="s">
        <v>83</v>
      </c>
      <c r="L125" s="176"/>
      <c r="M125" s="176"/>
      <c r="N125" s="176"/>
      <c r="O125" s="176"/>
      <c r="P125" s="177"/>
    </row>
    <row r="126" spans="1:26" s="3" customFormat="1" ht="28.5" customHeight="1" thickBot="1" x14ac:dyDescent="0.25">
      <c r="B126" s="53" t="s">
        <v>84</v>
      </c>
      <c r="C126" s="180" t="s">
        <v>85</v>
      </c>
      <c r="D126" s="180"/>
      <c r="E126" s="180"/>
      <c r="F126" s="180"/>
      <c r="G126" s="180"/>
      <c r="H126" s="181"/>
      <c r="I126" s="179"/>
      <c r="J126" s="53" t="s">
        <v>86</v>
      </c>
      <c r="K126" s="180" t="s">
        <v>87</v>
      </c>
      <c r="L126" s="180"/>
      <c r="M126" s="180"/>
      <c r="N126" s="180"/>
      <c r="O126" s="180"/>
      <c r="P126" s="181"/>
    </row>
    <row r="127" spans="1:26" s="91" customFormat="1" ht="13.5" customHeight="1" x14ac:dyDescent="0.25">
      <c r="A127" s="54"/>
      <c r="B127" s="182">
        <v>6</v>
      </c>
      <c r="C127" s="185">
        <f>+C39</f>
        <v>6.02</v>
      </c>
      <c r="D127" s="187">
        <f>+D39</f>
        <v>0.91</v>
      </c>
      <c r="E127" s="187">
        <f>+E44</f>
        <v>1.0449999999999999</v>
      </c>
      <c r="F127" s="55" t="s">
        <v>75</v>
      </c>
      <c r="G127" s="55">
        <v>0.01</v>
      </c>
      <c r="H127" s="56"/>
      <c r="I127" s="57"/>
      <c r="J127" s="58">
        <v>0.376</v>
      </c>
      <c r="K127" s="188">
        <f>+AVERAGE(J127:J137)</f>
        <v>1.2758181818181817</v>
      </c>
      <c r="L127" s="167">
        <f>ROUND(+(D127+D132)/2*(C132-C127),3)</f>
        <v>0.88500000000000001</v>
      </c>
      <c r="M127" s="170">
        <f>ROUND(+K127*L127,4)</f>
        <v>1.1291</v>
      </c>
      <c r="N127" s="167">
        <f>ROUND(+M127/$M$138*100,2)</f>
        <v>10.02</v>
      </c>
      <c r="O127" s="167"/>
      <c r="P127" s="171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91" customFormat="1" ht="13.5" customHeight="1" x14ac:dyDescent="0.25">
      <c r="A128" s="54"/>
      <c r="B128" s="183"/>
      <c r="C128" s="168"/>
      <c r="D128" s="168"/>
      <c r="E128" s="168"/>
      <c r="F128" s="60" t="s">
        <v>88</v>
      </c>
      <c r="G128" s="61">
        <f>+E127*0.1</f>
        <v>0.1045</v>
      </c>
      <c r="H128" s="62"/>
      <c r="I128" s="63"/>
      <c r="J128" s="64">
        <v>0.78900000000000003</v>
      </c>
      <c r="K128" s="168"/>
      <c r="L128" s="168"/>
      <c r="M128" s="168"/>
      <c r="N128" s="168"/>
      <c r="O128" s="168"/>
      <c r="P128" s="172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s="91" customFormat="1" ht="13.5" customHeight="1" x14ac:dyDescent="0.25">
      <c r="A129" s="54"/>
      <c r="B129" s="183"/>
      <c r="C129" s="168"/>
      <c r="D129" s="168"/>
      <c r="E129" s="168"/>
      <c r="F129" s="60" t="s">
        <v>89</v>
      </c>
      <c r="G129" s="61">
        <f>+E127*0.2</f>
        <v>0.20899999999999999</v>
      </c>
      <c r="H129" s="62"/>
      <c r="I129" s="63"/>
      <c r="J129" s="64">
        <v>0.96099999999999997</v>
      </c>
      <c r="K129" s="168"/>
      <c r="L129" s="168"/>
      <c r="M129" s="168"/>
      <c r="N129" s="168"/>
      <c r="O129" s="168"/>
      <c r="P129" s="172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s="91" customFormat="1" ht="13.5" customHeight="1" x14ac:dyDescent="0.25">
      <c r="A130" s="54"/>
      <c r="B130" s="183"/>
      <c r="C130" s="168"/>
      <c r="D130" s="168"/>
      <c r="E130" s="168"/>
      <c r="F130" s="60" t="s">
        <v>90</v>
      </c>
      <c r="G130" s="61">
        <f>+E127*0.3</f>
        <v>0.31349999999999995</v>
      </c>
      <c r="H130" s="62"/>
      <c r="I130" s="63"/>
      <c r="J130" s="64">
        <v>1.0009999999999999</v>
      </c>
      <c r="K130" s="168"/>
      <c r="L130" s="168"/>
      <c r="M130" s="168"/>
      <c r="N130" s="168"/>
      <c r="O130" s="168"/>
      <c r="P130" s="172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s="91" customFormat="1" ht="13.5" customHeight="1" x14ac:dyDescent="0.25">
      <c r="A131" s="54"/>
      <c r="B131" s="183"/>
      <c r="C131" s="186"/>
      <c r="D131" s="186"/>
      <c r="E131" s="168"/>
      <c r="F131" s="60" t="s">
        <v>91</v>
      </c>
      <c r="G131" s="61">
        <f>+E127*0.4</f>
        <v>0.41799999999999998</v>
      </c>
      <c r="H131" s="62"/>
      <c r="I131" s="63"/>
      <c r="J131" s="64">
        <v>1.1120000000000001</v>
      </c>
      <c r="K131" s="168"/>
      <c r="L131" s="168"/>
      <c r="M131" s="168"/>
      <c r="N131" s="168"/>
      <c r="O131" s="168"/>
      <c r="P131" s="172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s="91" customFormat="1" ht="13.5" customHeight="1" x14ac:dyDescent="0.25">
      <c r="A132" s="54"/>
      <c r="B132" s="183"/>
      <c r="C132" s="174">
        <f>+C44</f>
        <v>7.02</v>
      </c>
      <c r="D132" s="175">
        <f>+D44</f>
        <v>0.86</v>
      </c>
      <c r="E132" s="168"/>
      <c r="F132" s="60" t="s">
        <v>29</v>
      </c>
      <c r="G132" s="61">
        <f>+E127*0.5</f>
        <v>0.52249999999999996</v>
      </c>
      <c r="H132" s="62"/>
      <c r="I132" s="63"/>
      <c r="J132" s="64">
        <v>1.216</v>
      </c>
      <c r="K132" s="168"/>
      <c r="L132" s="168"/>
      <c r="M132" s="168"/>
      <c r="N132" s="168"/>
      <c r="O132" s="168"/>
      <c r="P132" s="172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s="91" customFormat="1" ht="13.5" customHeight="1" x14ac:dyDescent="0.25">
      <c r="A133" s="54"/>
      <c r="B133" s="183"/>
      <c r="C133" s="168"/>
      <c r="D133" s="168"/>
      <c r="E133" s="168"/>
      <c r="F133" s="60" t="s">
        <v>92</v>
      </c>
      <c r="G133" s="61">
        <f>+E127*0.6</f>
        <v>0.62699999999999989</v>
      </c>
      <c r="H133" s="62"/>
      <c r="I133" s="63"/>
      <c r="J133" s="64">
        <v>1.405</v>
      </c>
      <c r="K133" s="168"/>
      <c r="L133" s="168"/>
      <c r="M133" s="168"/>
      <c r="N133" s="168"/>
      <c r="O133" s="168"/>
      <c r="P133" s="172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s="91" customFormat="1" ht="13.5" customHeight="1" x14ac:dyDescent="0.25">
      <c r="A134" s="54"/>
      <c r="B134" s="183"/>
      <c r="C134" s="168"/>
      <c r="D134" s="168"/>
      <c r="E134" s="168"/>
      <c r="F134" s="60" t="s">
        <v>93</v>
      </c>
      <c r="G134" s="61">
        <f>+E127*0.7</f>
        <v>0.73149999999999993</v>
      </c>
      <c r="H134" s="62"/>
      <c r="I134" s="63"/>
      <c r="J134" s="64">
        <v>1.611</v>
      </c>
      <c r="K134" s="168"/>
      <c r="L134" s="168"/>
      <c r="M134" s="168"/>
      <c r="N134" s="168"/>
      <c r="O134" s="168"/>
      <c r="P134" s="172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s="91" customFormat="1" ht="13.5" customHeight="1" x14ac:dyDescent="0.25">
      <c r="A135" s="54"/>
      <c r="B135" s="183"/>
      <c r="C135" s="168"/>
      <c r="D135" s="168"/>
      <c r="E135" s="168"/>
      <c r="F135" s="60" t="s">
        <v>94</v>
      </c>
      <c r="G135" s="61">
        <f>+E127*0.8</f>
        <v>0.83599999999999997</v>
      </c>
      <c r="H135" s="62"/>
      <c r="I135" s="63"/>
      <c r="J135" s="64">
        <v>1.782</v>
      </c>
      <c r="K135" s="168"/>
      <c r="L135" s="168"/>
      <c r="M135" s="168"/>
      <c r="N135" s="168"/>
      <c r="O135" s="168"/>
      <c r="P135" s="172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s="91" customFormat="1" ht="13.5" customHeight="1" x14ac:dyDescent="0.25">
      <c r="A136" s="54"/>
      <c r="B136" s="183"/>
      <c r="C136" s="168"/>
      <c r="D136" s="168"/>
      <c r="E136" s="168"/>
      <c r="F136" s="60" t="s">
        <v>95</v>
      </c>
      <c r="G136" s="61">
        <f>+E127*0.9</f>
        <v>0.9405</v>
      </c>
      <c r="H136" s="62"/>
      <c r="I136" s="63"/>
      <c r="J136" s="64">
        <v>1.901</v>
      </c>
      <c r="K136" s="168"/>
      <c r="L136" s="168"/>
      <c r="M136" s="168"/>
      <c r="N136" s="168"/>
      <c r="O136" s="168"/>
      <c r="P136" s="172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s="91" customFormat="1" ht="15.75" thickBot="1" x14ac:dyDescent="0.3">
      <c r="A137" s="54"/>
      <c r="B137" s="184"/>
      <c r="C137" s="169"/>
      <c r="D137" s="169"/>
      <c r="E137" s="169"/>
      <c r="F137" s="65" t="s">
        <v>30</v>
      </c>
      <c r="G137" s="65">
        <f>+E127</f>
        <v>1.0449999999999999</v>
      </c>
      <c r="H137" s="66"/>
      <c r="I137" s="67"/>
      <c r="J137" s="68">
        <v>1.88</v>
      </c>
      <c r="K137" s="169"/>
      <c r="L137" s="169"/>
      <c r="M137" s="169"/>
      <c r="N137" s="169"/>
      <c r="O137" s="169"/>
      <c r="P137" s="173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s="3" customFormat="1" ht="12.75" x14ac:dyDescent="0.2">
      <c r="A138" s="8"/>
      <c r="B138" s="155" t="s">
        <v>103</v>
      </c>
      <c r="C138" s="155"/>
      <c r="D138" s="155"/>
      <c r="E138" s="155"/>
      <c r="F138" s="155"/>
      <c r="G138" s="155"/>
      <c r="H138" s="155"/>
      <c r="I138" s="155"/>
      <c r="J138" s="155"/>
      <c r="K138" s="13">
        <f>ROUND(+M138/L138,3)</f>
        <v>0.92500000000000004</v>
      </c>
      <c r="L138" s="12">
        <f>SUM(L19:L137)</f>
        <v>12.188000000000001</v>
      </c>
      <c r="M138" s="11">
        <f>SUM(M19:M137)</f>
        <v>11.272799999999998</v>
      </c>
      <c r="N138" s="9">
        <f>ROUND(SUM(N19:N137),0)</f>
        <v>100</v>
      </c>
      <c r="O138" s="157" t="s">
        <v>31</v>
      </c>
      <c r="P138" s="159"/>
    </row>
    <row r="139" spans="1:26" s="3" customFormat="1" ht="15" customHeight="1" thickBot="1" x14ac:dyDescent="0.25">
      <c r="A139" s="8"/>
      <c r="B139" s="156"/>
      <c r="C139" s="156"/>
      <c r="D139" s="156"/>
      <c r="E139" s="156"/>
      <c r="F139" s="156"/>
      <c r="G139" s="156"/>
      <c r="H139" s="156"/>
      <c r="I139" s="156"/>
      <c r="J139" s="156"/>
      <c r="K139" s="10" t="s">
        <v>32</v>
      </c>
      <c r="L139" s="10" t="s">
        <v>48</v>
      </c>
      <c r="M139" s="10" t="s">
        <v>100</v>
      </c>
      <c r="N139" s="10" t="s">
        <v>33</v>
      </c>
      <c r="O139" s="158"/>
      <c r="P139" s="160"/>
    </row>
    <row r="140" spans="1:26" ht="15" customHeight="1" thickBot="1" x14ac:dyDescent="0.3">
      <c r="A140" s="93"/>
      <c r="B140" s="161" t="s">
        <v>96</v>
      </c>
      <c r="C140" s="162"/>
      <c r="D140" s="162"/>
      <c r="E140" s="162"/>
      <c r="F140" s="163"/>
      <c r="G140" s="161" t="s">
        <v>97</v>
      </c>
      <c r="H140" s="162"/>
      <c r="I140" s="162"/>
      <c r="J140" s="162"/>
      <c r="K140" s="163"/>
      <c r="L140" s="164" t="s">
        <v>49</v>
      </c>
      <c r="M140" s="165"/>
      <c r="N140" s="165"/>
      <c r="O140" s="165"/>
      <c r="P140" s="166"/>
    </row>
    <row r="141" spans="1:26" ht="15" customHeight="1" x14ac:dyDescent="0.25">
      <c r="A141" s="93"/>
      <c r="B141" s="125"/>
      <c r="C141" s="126"/>
      <c r="D141" s="126"/>
      <c r="E141" s="126"/>
      <c r="F141" s="127"/>
      <c r="G141" s="125"/>
      <c r="H141" s="126"/>
      <c r="I141" s="126"/>
      <c r="J141" s="126"/>
      <c r="K141" s="127"/>
      <c r="L141" s="134" t="s">
        <v>98</v>
      </c>
      <c r="M141" s="135"/>
      <c r="N141" s="135"/>
      <c r="O141" s="136">
        <f>+AVERAGE(E18:E118)</f>
        <v>0.65279999999999994</v>
      </c>
      <c r="P141" s="137"/>
    </row>
    <row r="142" spans="1:26" ht="15" customHeight="1" thickBot="1" x14ac:dyDescent="0.3">
      <c r="A142" s="93"/>
      <c r="B142" s="128"/>
      <c r="C142" s="129"/>
      <c r="D142" s="129"/>
      <c r="E142" s="129"/>
      <c r="F142" s="130"/>
      <c r="G142" s="128"/>
      <c r="H142" s="129"/>
      <c r="I142" s="129"/>
      <c r="J142" s="129"/>
      <c r="K142" s="130"/>
      <c r="L142" s="138" t="s">
        <v>99</v>
      </c>
      <c r="M142" s="139"/>
      <c r="N142" s="139"/>
      <c r="O142" s="140">
        <f>MAX(E18:E118)</f>
        <v>1.0449999999999999</v>
      </c>
      <c r="P142" s="141"/>
    </row>
    <row r="143" spans="1:26" ht="18.600000000000001" customHeight="1" x14ac:dyDescent="0.25">
      <c r="A143" s="94"/>
      <c r="B143" s="128"/>
      <c r="C143" s="129"/>
      <c r="D143" s="129"/>
      <c r="E143" s="129"/>
      <c r="F143" s="130"/>
      <c r="G143" s="128"/>
      <c r="H143" s="129"/>
      <c r="I143" s="129"/>
      <c r="J143" s="129"/>
      <c r="K143" s="130"/>
      <c r="L143" s="142" t="s">
        <v>114</v>
      </c>
      <c r="M143" s="143"/>
      <c r="N143" s="143"/>
      <c r="O143" s="143"/>
      <c r="P143" s="144"/>
    </row>
    <row r="144" spans="1:26" ht="42" customHeight="1" x14ac:dyDescent="0.25">
      <c r="A144" s="95"/>
      <c r="B144" s="128"/>
      <c r="C144" s="129"/>
      <c r="D144" s="129"/>
      <c r="E144" s="129"/>
      <c r="F144" s="130"/>
      <c r="G144" s="128"/>
      <c r="H144" s="129"/>
      <c r="I144" s="129"/>
      <c r="J144" s="129"/>
      <c r="K144" s="130"/>
      <c r="L144" s="145"/>
      <c r="M144" s="146"/>
      <c r="N144" s="146"/>
      <c r="O144" s="146"/>
      <c r="P144" s="147"/>
    </row>
    <row r="145" spans="1:16" ht="15" customHeight="1" thickBot="1" x14ac:dyDescent="0.3">
      <c r="A145" s="93"/>
      <c r="B145" s="128"/>
      <c r="C145" s="129"/>
      <c r="D145" s="129"/>
      <c r="E145" s="129"/>
      <c r="F145" s="130"/>
      <c r="G145" s="128"/>
      <c r="H145" s="129"/>
      <c r="I145" s="129"/>
      <c r="J145" s="129"/>
      <c r="K145" s="130"/>
      <c r="L145" s="148"/>
      <c r="M145" s="149"/>
      <c r="N145" s="149"/>
      <c r="O145" s="149"/>
      <c r="P145" s="150"/>
    </row>
    <row r="146" spans="1:16" ht="22.5" customHeight="1" thickBot="1" x14ac:dyDescent="0.3">
      <c r="A146" s="93"/>
      <c r="B146" s="128"/>
      <c r="C146" s="129"/>
      <c r="D146" s="129"/>
      <c r="E146" s="129"/>
      <c r="F146" s="130"/>
      <c r="G146" s="128"/>
      <c r="H146" s="129"/>
      <c r="I146" s="129"/>
      <c r="J146" s="129"/>
      <c r="K146" s="130"/>
      <c r="L146" s="151" t="s">
        <v>34</v>
      </c>
      <c r="M146" s="152"/>
      <c r="N146" s="152"/>
      <c r="O146" s="152"/>
      <c r="P146" s="90">
        <v>4.3099999999999996</v>
      </c>
    </row>
    <row r="147" spans="1:16" ht="32.25" customHeight="1" thickBot="1" x14ac:dyDescent="0.3">
      <c r="A147" s="93"/>
      <c r="B147" s="131"/>
      <c r="C147" s="132"/>
      <c r="D147" s="132"/>
      <c r="E147" s="132"/>
      <c r="F147" s="133"/>
      <c r="G147" s="131"/>
      <c r="H147" s="132"/>
      <c r="I147" s="132"/>
      <c r="J147" s="132"/>
      <c r="K147" s="133"/>
      <c r="L147" s="153" t="s">
        <v>102</v>
      </c>
      <c r="M147" s="154"/>
      <c r="N147" s="154"/>
      <c r="O147" s="154"/>
      <c r="P147" s="90">
        <v>0.76090000000000002</v>
      </c>
    </row>
    <row r="148" spans="1:16" ht="23.45" customHeight="1" thickBot="1" x14ac:dyDescent="0.3">
      <c r="A148" s="5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</row>
    <row r="149" spans="1:16" ht="15.75" thickBot="1" x14ac:dyDescent="0.3">
      <c r="A149" s="114" t="s">
        <v>35</v>
      </c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6"/>
    </row>
    <row r="150" spans="1:16" ht="159" customHeight="1" thickBot="1" x14ac:dyDescent="0.3">
      <c r="A150" s="4"/>
      <c r="B150" s="117"/>
      <c r="C150" s="118"/>
      <c r="D150" s="118"/>
      <c r="E150" s="118"/>
      <c r="F150" s="119"/>
      <c r="G150" s="117"/>
      <c r="H150" s="118"/>
      <c r="I150" s="118"/>
      <c r="J150" s="118"/>
      <c r="K150" s="119"/>
      <c r="L150" s="117"/>
      <c r="M150" s="118"/>
      <c r="N150" s="118"/>
      <c r="O150" s="118"/>
      <c r="P150" s="120"/>
    </row>
    <row r="151" spans="1:16" ht="21.75" customHeight="1" thickBot="1" x14ac:dyDescent="0.3">
      <c r="A151" s="4"/>
      <c r="B151" s="301" t="s">
        <v>111</v>
      </c>
      <c r="C151" s="302"/>
      <c r="D151" s="302"/>
      <c r="E151" s="302"/>
      <c r="F151" s="302"/>
      <c r="G151" s="302"/>
      <c r="H151" s="302"/>
      <c r="I151" s="302"/>
      <c r="J151" s="302"/>
      <c r="K151" s="302"/>
      <c r="L151" s="302"/>
      <c r="M151" s="302"/>
      <c r="N151" s="302"/>
      <c r="O151" s="302"/>
      <c r="P151" s="303"/>
    </row>
    <row r="152" spans="1:16" s="7" customFormat="1" ht="16.899999999999999" customHeight="1" thickBot="1" x14ac:dyDescent="0.3">
      <c r="A152" s="6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9"/>
    </row>
    <row r="153" spans="1:16" s="3" customFormat="1" ht="15.75" customHeight="1" thickBot="1" x14ac:dyDescent="0.25">
      <c r="A153" s="110" t="s">
        <v>36</v>
      </c>
      <c r="B153" s="111"/>
      <c r="C153" s="111"/>
      <c r="D153" s="111" t="s">
        <v>112</v>
      </c>
      <c r="E153" s="111"/>
      <c r="F153" s="111"/>
      <c r="G153" s="111"/>
      <c r="H153" s="111"/>
      <c r="I153" s="111"/>
      <c r="J153" s="111" t="s">
        <v>37</v>
      </c>
      <c r="K153" s="111"/>
      <c r="L153" s="111"/>
      <c r="M153" s="111"/>
      <c r="N153" s="111"/>
      <c r="O153" s="111"/>
      <c r="P153" s="112"/>
    </row>
  </sheetData>
  <mergeCells count="30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14:M118"/>
    <mergeCell ref="N114:N118"/>
    <mergeCell ref="O114:O118"/>
    <mergeCell ref="P114:P118"/>
    <mergeCell ref="B119:B124"/>
    <mergeCell ref="C119:P124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C125:H125"/>
    <mergeCell ref="I125:I126"/>
    <mergeCell ref="K125:P125"/>
    <mergeCell ref="C126:H126"/>
    <mergeCell ref="K126:P126"/>
    <mergeCell ref="B127:B137"/>
    <mergeCell ref="C127:C131"/>
    <mergeCell ref="D127:D131"/>
    <mergeCell ref="E127:E137"/>
    <mergeCell ref="K127:K137"/>
    <mergeCell ref="B138:J139"/>
    <mergeCell ref="O138:O139"/>
    <mergeCell ref="P138:P139"/>
    <mergeCell ref="B140:F140"/>
    <mergeCell ref="G140:K140"/>
    <mergeCell ref="L140:P140"/>
    <mergeCell ref="L127:L137"/>
    <mergeCell ref="M127:M137"/>
    <mergeCell ref="N127:N137"/>
    <mergeCell ref="O127:O137"/>
    <mergeCell ref="P127:P137"/>
    <mergeCell ref="C132:C137"/>
    <mergeCell ref="D132:D137"/>
    <mergeCell ref="B141:F147"/>
    <mergeCell ref="G141:K147"/>
    <mergeCell ref="L141:N141"/>
    <mergeCell ref="O141:P141"/>
    <mergeCell ref="L142:N142"/>
    <mergeCell ref="O142:P142"/>
    <mergeCell ref="L143:P145"/>
    <mergeCell ref="L146:O146"/>
    <mergeCell ref="L147:O147"/>
    <mergeCell ref="B152:P152"/>
    <mergeCell ref="A153:C153"/>
    <mergeCell ref="D153:I153"/>
    <mergeCell ref="J153:K153"/>
    <mergeCell ref="L153:P153"/>
    <mergeCell ref="B148:P148"/>
    <mergeCell ref="A149:P149"/>
    <mergeCell ref="B150:F150"/>
    <mergeCell ref="G150:K150"/>
    <mergeCell ref="L150:P150"/>
    <mergeCell ref="B151:P15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7"/>
      <c r="B2" s="318"/>
      <c r="C2" s="319"/>
      <c r="D2" s="320"/>
      <c r="E2" s="321" t="s">
        <v>119</v>
      </c>
      <c r="F2" s="322"/>
      <c r="G2" s="322"/>
      <c r="H2" s="322"/>
      <c r="I2" s="322"/>
      <c r="J2" s="322"/>
      <c r="K2" s="322"/>
      <c r="L2" s="322"/>
      <c r="M2" s="322"/>
      <c r="N2" s="322"/>
      <c r="O2" s="323"/>
      <c r="P2" s="324"/>
    </row>
    <row r="3" spans="1:26" s="2" customFormat="1" ht="25.5" customHeight="1" thickBot="1" x14ac:dyDescent="0.3">
      <c r="A3" s="317"/>
      <c r="B3" s="325"/>
      <c r="C3" s="326"/>
      <c r="D3" s="327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30"/>
      <c r="P3" s="331"/>
    </row>
    <row r="4" spans="1:26" s="91" customFormat="1" ht="11.25" customHeight="1" thickBot="1" x14ac:dyDescent="0.3">
      <c r="A4" s="15"/>
      <c r="B4" s="295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6">
        <v>43134</v>
      </c>
      <c r="D5" s="297"/>
      <c r="E5" s="70" t="s">
        <v>50</v>
      </c>
      <c r="F5" s="71">
        <v>3</v>
      </c>
      <c r="G5" s="72" t="s">
        <v>1</v>
      </c>
      <c r="H5" s="298" t="s">
        <v>120</v>
      </c>
      <c r="I5" s="299"/>
      <c r="J5" s="299"/>
      <c r="K5" s="299"/>
      <c r="L5" s="299"/>
      <c r="M5" s="299"/>
      <c r="N5" s="299"/>
      <c r="O5" s="299"/>
      <c r="P5" s="300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9" t="s">
        <v>2</v>
      </c>
      <c r="C6" s="280"/>
      <c r="D6" s="281" t="s">
        <v>106</v>
      </c>
      <c r="E6" s="282"/>
      <c r="F6" s="282"/>
      <c r="G6" s="282"/>
      <c r="H6" s="282"/>
      <c r="I6" s="283"/>
      <c r="J6" s="74" t="s">
        <v>3</v>
      </c>
      <c r="K6" s="284" t="s">
        <v>107</v>
      </c>
      <c r="L6" s="283"/>
      <c r="M6" s="284" t="s">
        <v>108</v>
      </c>
      <c r="N6" s="285"/>
      <c r="O6" s="75" t="s">
        <v>51</v>
      </c>
      <c r="P6" s="76">
        <v>1186</v>
      </c>
    </row>
    <row r="7" spans="1:26" s="18" customFormat="1" ht="21.75" customHeight="1" x14ac:dyDescent="0.25">
      <c r="B7" s="286" t="s">
        <v>52</v>
      </c>
      <c r="C7" s="287" t="s">
        <v>53</v>
      </c>
      <c r="D7" s="257"/>
      <c r="E7" s="78"/>
      <c r="F7" s="288" t="s">
        <v>54</v>
      </c>
      <c r="G7" s="289"/>
      <c r="H7" s="289"/>
      <c r="I7" s="289"/>
      <c r="J7" s="290" t="s">
        <v>55</v>
      </c>
      <c r="K7" s="291"/>
      <c r="L7" s="291"/>
      <c r="M7" s="292"/>
      <c r="N7" s="293" t="s">
        <v>101</v>
      </c>
      <c r="O7" s="294"/>
      <c r="P7" s="79" t="s">
        <v>56</v>
      </c>
    </row>
    <row r="8" spans="1:26" s="18" customFormat="1" ht="21.75" customHeight="1" thickBot="1" x14ac:dyDescent="0.3">
      <c r="B8" s="231"/>
      <c r="C8" s="248" t="s">
        <v>57</v>
      </c>
      <c r="D8" s="247"/>
      <c r="E8" s="80" t="s">
        <v>4</v>
      </c>
      <c r="F8" s="258" t="s">
        <v>5</v>
      </c>
      <c r="G8" s="259"/>
      <c r="H8" s="259"/>
      <c r="I8" s="259"/>
      <c r="J8" s="260"/>
      <c r="K8" s="261"/>
      <c r="L8" s="261"/>
      <c r="M8" s="262"/>
      <c r="N8" s="263"/>
      <c r="O8" s="264"/>
      <c r="P8" s="81"/>
    </row>
    <row r="9" spans="1:26" s="18" customFormat="1" ht="21.75" customHeight="1" x14ac:dyDescent="0.25">
      <c r="B9" s="265" t="s">
        <v>6</v>
      </c>
      <c r="C9" s="268" t="s">
        <v>58</v>
      </c>
      <c r="D9" s="269" t="s">
        <v>59</v>
      </c>
      <c r="E9" s="254"/>
      <c r="F9" s="82"/>
      <c r="G9" s="270" t="s">
        <v>7</v>
      </c>
      <c r="H9" s="271" t="s">
        <v>8</v>
      </c>
      <c r="I9" s="257"/>
      <c r="J9" s="83" t="s">
        <v>4</v>
      </c>
      <c r="K9" s="268" t="s">
        <v>60</v>
      </c>
      <c r="L9" s="272" t="s">
        <v>109</v>
      </c>
      <c r="M9" s="273"/>
      <c r="N9" s="274"/>
      <c r="O9" s="274"/>
      <c r="P9" s="275"/>
    </row>
    <row r="10" spans="1:26" s="18" customFormat="1" ht="21.75" customHeight="1" thickBot="1" x14ac:dyDescent="0.3">
      <c r="B10" s="266"/>
      <c r="C10" s="211"/>
      <c r="D10" s="252" t="s">
        <v>61</v>
      </c>
      <c r="E10" s="247"/>
      <c r="F10" s="84" t="s">
        <v>4</v>
      </c>
      <c r="G10" s="211"/>
      <c r="H10" s="252" t="s">
        <v>9</v>
      </c>
      <c r="I10" s="247"/>
      <c r="J10" s="85"/>
      <c r="K10" s="211"/>
      <c r="L10" s="276"/>
      <c r="M10" s="277"/>
      <c r="N10" s="277"/>
      <c r="O10" s="277"/>
      <c r="P10" s="278"/>
    </row>
    <row r="11" spans="1:26" s="18" customFormat="1" ht="21.75" customHeight="1" x14ac:dyDescent="0.25">
      <c r="A11" s="16"/>
      <c r="B11" s="266"/>
      <c r="C11" s="253" t="s">
        <v>10</v>
      </c>
      <c r="D11" s="254"/>
      <c r="E11" s="86">
        <v>0.39583333333333331</v>
      </c>
      <c r="F11" s="255" t="s">
        <v>11</v>
      </c>
      <c r="G11" s="254"/>
      <c r="H11" s="87">
        <v>1.32</v>
      </c>
      <c r="I11" s="256" t="s">
        <v>12</v>
      </c>
      <c r="J11" s="257"/>
      <c r="K11" s="87">
        <v>20</v>
      </c>
      <c r="L11" s="253" t="s">
        <v>13</v>
      </c>
      <c r="M11" s="254"/>
      <c r="N11" s="88">
        <v>18.57</v>
      </c>
      <c r="O11" s="244" t="s">
        <v>62</v>
      </c>
      <c r="P11" s="245"/>
    </row>
    <row r="12" spans="1:26" s="18" customFormat="1" ht="21.75" customHeight="1" thickBot="1" x14ac:dyDescent="0.3">
      <c r="A12" s="16"/>
      <c r="B12" s="267"/>
      <c r="C12" s="246" t="s">
        <v>14</v>
      </c>
      <c r="D12" s="247"/>
      <c r="E12" s="86">
        <v>0.48194444444444445</v>
      </c>
      <c r="F12" s="248" t="s">
        <v>15</v>
      </c>
      <c r="G12" s="247"/>
      <c r="H12" s="87">
        <v>1.29</v>
      </c>
      <c r="I12" s="249" t="s">
        <v>16</v>
      </c>
      <c r="J12" s="247"/>
      <c r="K12" s="86">
        <v>0.42222222222222222</v>
      </c>
      <c r="L12" s="246" t="s">
        <v>17</v>
      </c>
      <c r="M12" s="247"/>
      <c r="N12" s="89">
        <v>1</v>
      </c>
      <c r="O12" s="250">
        <v>1.45</v>
      </c>
      <c r="P12" s="251"/>
    </row>
    <row r="13" spans="1:26" s="18" customFormat="1" ht="21.75" customHeight="1" x14ac:dyDescent="0.25">
      <c r="A13" s="16"/>
      <c r="B13" s="229" t="s">
        <v>18</v>
      </c>
      <c r="C13" s="232" t="s">
        <v>63</v>
      </c>
      <c r="D13" s="233"/>
      <c r="E13" s="233"/>
      <c r="F13" s="234" t="s">
        <v>64</v>
      </c>
      <c r="G13" s="233"/>
      <c r="H13" s="233"/>
      <c r="I13" s="233"/>
      <c r="J13" s="234" t="s">
        <v>65</v>
      </c>
      <c r="K13" s="233"/>
      <c r="L13" s="233"/>
      <c r="M13" s="233"/>
      <c r="N13" s="235" t="s">
        <v>66</v>
      </c>
      <c r="O13" s="233"/>
      <c r="P13" s="236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0"/>
      <c r="C14" s="237" t="s">
        <v>67</v>
      </c>
      <c r="D14" s="238"/>
      <c r="E14" s="238"/>
      <c r="F14" s="239" t="s">
        <v>68</v>
      </c>
      <c r="G14" s="238"/>
      <c r="H14" s="238"/>
      <c r="I14" s="238"/>
      <c r="J14" s="240" t="s">
        <v>69</v>
      </c>
      <c r="K14" s="238"/>
      <c r="L14" s="238"/>
      <c r="M14" s="238"/>
      <c r="N14" s="241"/>
      <c r="O14" s="226"/>
      <c r="P14" s="242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1"/>
      <c r="C15" s="243" t="s">
        <v>70</v>
      </c>
      <c r="D15" s="213"/>
      <c r="E15" s="213"/>
      <c r="F15" s="213" t="s">
        <v>71</v>
      </c>
      <c r="G15" s="214"/>
      <c r="H15" s="214"/>
      <c r="I15" s="214"/>
      <c r="J15" s="213" t="s">
        <v>72</v>
      </c>
      <c r="K15" s="214"/>
      <c r="L15" s="214"/>
      <c r="M15" s="214"/>
      <c r="N15" s="215"/>
      <c r="O15" s="216"/>
      <c r="P15" s="2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8" t="s">
        <v>19</v>
      </c>
      <c r="C16" s="220" t="s">
        <v>20</v>
      </c>
      <c r="D16" s="220" t="s">
        <v>40</v>
      </c>
      <c r="E16" s="222" t="s">
        <v>21</v>
      </c>
      <c r="F16" s="223" t="s">
        <v>41</v>
      </c>
      <c r="G16" s="224"/>
      <c r="H16" s="220" t="s">
        <v>73</v>
      </c>
      <c r="I16" s="227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9"/>
      <c r="C17" s="221"/>
      <c r="D17" s="221"/>
      <c r="E17" s="221"/>
      <c r="F17" s="225"/>
      <c r="G17" s="226"/>
      <c r="H17" s="221"/>
      <c r="I17" s="228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1.45</v>
      </c>
      <c r="D18" s="29">
        <v>7.0000000000000007E-2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9">
        <v>1</v>
      </c>
      <c r="C19" s="212">
        <f>C18+$N$12</f>
        <v>2.4500000000000002</v>
      </c>
      <c r="D19" s="189">
        <v>0.34100000000000003</v>
      </c>
      <c r="E19" s="189">
        <v>0.28199999999999997</v>
      </c>
      <c r="F19" s="36" t="s">
        <v>75</v>
      </c>
      <c r="G19" s="37">
        <v>0</v>
      </c>
      <c r="H19" s="38"/>
      <c r="I19" s="39"/>
      <c r="J19" s="40">
        <v>0.106</v>
      </c>
      <c r="K19" s="189">
        <f>+IF(E19&lt;=0.12,(J21),(IF(E19&lt;0.16,((J20+2*J21+J22)/4),IF(E19&gt;=0.16,((J19+3*J20+2*J21+3*J22+J23)/10)))))</f>
        <v>0.35070000000000001</v>
      </c>
      <c r="L19" s="189">
        <f>ROUND(+(D18+D19)/2*(C19-C18),3)</f>
        <v>0.20599999999999999</v>
      </c>
      <c r="M19" s="189">
        <f>ROUND(+K19*L19,4)</f>
        <v>7.22E-2</v>
      </c>
      <c r="N19" s="192">
        <f>ROUND(+M19/$M$128*100,2)</f>
        <v>1.65</v>
      </c>
      <c r="O19" s="193"/>
      <c r="P19" s="194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0"/>
      <c r="C20" s="190"/>
      <c r="D20" s="190"/>
      <c r="E20" s="190"/>
      <c r="F20" s="41" t="s">
        <v>76</v>
      </c>
      <c r="G20" s="42">
        <f>IF(E19&lt;0.125,"NA",IF(0.125&lt;=E19,(0.2*E19)))</f>
        <v>5.6399999999999999E-2</v>
      </c>
      <c r="H20" s="43"/>
      <c r="I20" s="44"/>
      <c r="J20" s="45">
        <v>0.217</v>
      </c>
      <c r="K20" s="190"/>
      <c r="L20" s="190"/>
      <c r="M20" s="190"/>
      <c r="N20" s="190"/>
      <c r="O20" s="190"/>
      <c r="P20" s="195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0"/>
      <c r="C21" s="190"/>
      <c r="D21" s="190"/>
      <c r="E21" s="190"/>
      <c r="F21" s="41" t="s">
        <v>77</v>
      </c>
      <c r="G21" s="42">
        <f>+E19*0.4</f>
        <v>0.1128</v>
      </c>
      <c r="H21" s="43"/>
      <c r="I21" s="44"/>
      <c r="J21" s="45">
        <v>0.26</v>
      </c>
      <c r="K21" s="190"/>
      <c r="L21" s="190"/>
      <c r="M21" s="190"/>
      <c r="N21" s="190"/>
      <c r="O21" s="190"/>
      <c r="P21" s="195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0"/>
      <c r="C22" s="190"/>
      <c r="D22" s="190"/>
      <c r="E22" s="190"/>
      <c r="F22" s="41" t="s">
        <v>78</v>
      </c>
      <c r="G22" s="42">
        <f>IF(E19&lt;0.125,"NA",IF(0.125&lt;=E19,(0.8*E19)))</f>
        <v>0.22559999999999999</v>
      </c>
      <c r="H22" s="43"/>
      <c r="I22" s="44"/>
      <c r="J22" s="45">
        <v>0.54700000000000004</v>
      </c>
      <c r="K22" s="190"/>
      <c r="L22" s="190"/>
      <c r="M22" s="190"/>
      <c r="N22" s="190"/>
      <c r="O22" s="190"/>
      <c r="P22" s="195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1"/>
      <c r="C23" s="191"/>
      <c r="D23" s="191"/>
      <c r="E23" s="191"/>
      <c r="F23" s="46" t="s">
        <v>79</v>
      </c>
      <c r="G23" s="47">
        <f>+E19</f>
        <v>0.28199999999999997</v>
      </c>
      <c r="H23" s="48"/>
      <c r="I23" s="49"/>
      <c r="J23" s="50">
        <v>0.58899999999999997</v>
      </c>
      <c r="K23" s="191"/>
      <c r="L23" s="191"/>
      <c r="M23" s="191"/>
      <c r="N23" s="191"/>
      <c r="O23" s="191"/>
      <c r="P23" s="196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9">
        <v>2</v>
      </c>
      <c r="C24" s="212">
        <f>C19+$N$12</f>
        <v>3.45</v>
      </c>
      <c r="D24" s="189">
        <v>0.46899999999999997</v>
      </c>
      <c r="E24" s="189">
        <v>0.42499999999999999</v>
      </c>
      <c r="F24" s="36" t="s">
        <v>75</v>
      </c>
      <c r="G24" s="37">
        <v>0</v>
      </c>
      <c r="H24" s="38"/>
      <c r="I24" s="39"/>
      <c r="J24" s="40">
        <v>0.20799999999999999</v>
      </c>
      <c r="K24" s="189">
        <f>+IF(E24&lt;=0.12,(J26),(IF(E24&lt;0.16,((J25+2*J26+J27)/4),IF(E24&gt;=0.16,((J24+3*J25+2*J26+3*J27+J28)/10)))))</f>
        <v>0.42770000000000002</v>
      </c>
      <c r="L24" s="189">
        <f>ROUND(+(D19+D24)/2*(C24-C19),3)</f>
        <v>0.40500000000000003</v>
      </c>
      <c r="M24" s="189">
        <f>ROUND(+K24*L24,4)</f>
        <v>0.17319999999999999</v>
      </c>
      <c r="N24" s="192">
        <f>ROUND(+M24/$M$128*100,2)</f>
        <v>3.97</v>
      </c>
      <c r="O24" s="193"/>
      <c r="P24" s="194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0"/>
      <c r="C25" s="190"/>
      <c r="D25" s="190"/>
      <c r="E25" s="190"/>
      <c r="F25" s="41" t="s">
        <v>76</v>
      </c>
      <c r="G25" s="42">
        <f>IF(E24&lt;0.125,"NA",IF(0.125&lt;=E24,(0.2*E24)))</f>
        <v>8.5000000000000006E-2</v>
      </c>
      <c r="H25" s="43"/>
      <c r="I25" s="44"/>
      <c r="J25" s="45">
        <v>0.316</v>
      </c>
      <c r="K25" s="190"/>
      <c r="L25" s="190"/>
      <c r="M25" s="190"/>
      <c r="N25" s="190"/>
      <c r="O25" s="190"/>
      <c r="P25" s="195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0"/>
      <c r="C26" s="190"/>
      <c r="D26" s="190"/>
      <c r="E26" s="190"/>
      <c r="F26" s="41" t="s">
        <v>77</v>
      </c>
      <c r="G26" s="42">
        <f>+E24*0.4</f>
        <v>0.17</v>
      </c>
      <c r="H26" s="43"/>
      <c r="I26" s="44"/>
      <c r="J26" s="45">
        <v>0.375</v>
      </c>
      <c r="K26" s="190"/>
      <c r="L26" s="190"/>
      <c r="M26" s="190"/>
      <c r="N26" s="190"/>
      <c r="O26" s="190"/>
      <c r="P26" s="195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0"/>
      <c r="C27" s="190"/>
      <c r="D27" s="190"/>
      <c r="E27" s="190"/>
      <c r="F27" s="41" t="s">
        <v>78</v>
      </c>
      <c r="G27" s="42">
        <f>IF(E24&lt;0.125,"NA",IF(0.125&lt;=E24,(0.8*E24)))</f>
        <v>0.34</v>
      </c>
      <c r="H27" s="43"/>
      <c r="I27" s="44"/>
      <c r="J27" s="45">
        <v>0.59</v>
      </c>
      <c r="K27" s="190"/>
      <c r="L27" s="190"/>
      <c r="M27" s="190"/>
      <c r="N27" s="190"/>
      <c r="O27" s="190"/>
      <c r="P27" s="195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1"/>
      <c r="C28" s="191"/>
      <c r="D28" s="191"/>
      <c r="E28" s="191"/>
      <c r="F28" s="46" t="s">
        <v>79</v>
      </c>
      <c r="G28" s="47">
        <f>+E24</f>
        <v>0.42499999999999999</v>
      </c>
      <c r="H28" s="48"/>
      <c r="I28" s="49"/>
      <c r="J28" s="50">
        <v>0.60099999999999998</v>
      </c>
      <c r="K28" s="191"/>
      <c r="L28" s="191"/>
      <c r="M28" s="191"/>
      <c r="N28" s="191"/>
      <c r="O28" s="191"/>
      <c r="P28" s="196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9">
        <v>3</v>
      </c>
      <c r="C29" s="212">
        <f t="shared" ref="C29" si="0">C24+$N$12</f>
        <v>4.45</v>
      </c>
      <c r="D29" s="189">
        <v>0.61299999999999999</v>
      </c>
      <c r="E29" s="189">
        <v>0.59799999999999998</v>
      </c>
      <c r="F29" s="36" t="s">
        <v>75</v>
      </c>
      <c r="G29" s="37">
        <v>0</v>
      </c>
      <c r="H29" s="38"/>
      <c r="I29" s="39"/>
      <c r="J29" s="40">
        <v>0.32100000000000001</v>
      </c>
      <c r="K29" s="189">
        <f t="shared" ref="K29" si="1">+IF(E29&lt;=0.12,(J31),(IF(E29&lt;0.16,((J30+2*J31+J32)/4),IF(E29&gt;=0.16,((J29+3*J30+2*J31+3*J32+J33)/10)))))</f>
        <v>0.54179999999999995</v>
      </c>
      <c r="L29" s="189">
        <f>ROUND(+(D24+D29)/2*(C29-C24),3)</f>
        <v>0.54100000000000004</v>
      </c>
      <c r="M29" s="189">
        <f t="shared" ref="M29" si="2">ROUND(+K29*L29,4)</f>
        <v>0.29310000000000003</v>
      </c>
      <c r="N29" s="192">
        <f t="shared" ref="N29" si="3">ROUND(+M29/$M$128*100,2)</f>
        <v>6.71</v>
      </c>
      <c r="O29" s="193"/>
      <c r="P29" s="19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0"/>
      <c r="C30" s="190"/>
      <c r="D30" s="190"/>
      <c r="E30" s="190"/>
      <c r="F30" s="41" t="s">
        <v>76</v>
      </c>
      <c r="G30" s="42">
        <f t="shared" ref="G30" si="4">IF(E29&lt;0.125,"NA",IF(0.125&lt;=E29,(0.2*E29)))</f>
        <v>0.1196</v>
      </c>
      <c r="H30" s="43"/>
      <c r="I30" s="44"/>
      <c r="J30" s="45">
        <v>0.47699999999999998</v>
      </c>
      <c r="K30" s="190"/>
      <c r="L30" s="190"/>
      <c r="M30" s="190"/>
      <c r="N30" s="190"/>
      <c r="O30" s="190"/>
      <c r="P30" s="195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0"/>
      <c r="C31" s="190"/>
      <c r="D31" s="190"/>
      <c r="E31" s="190"/>
      <c r="F31" s="41" t="s">
        <v>77</v>
      </c>
      <c r="G31" s="42">
        <f t="shared" ref="G31" si="5">+E29*0.4</f>
        <v>0.2392</v>
      </c>
      <c r="H31" s="43"/>
      <c r="I31" s="44"/>
      <c r="J31" s="45">
        <v>0.60499999999999998</v>
      </c>
      <c r="K31" s="190"/>
      <c r="L31" s="190"/>
      <c r="M31" s="190"/>
      <c r="N31" s="190"/>
      <c r="O31" s="190"/>
      <c r="P31" s="195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0"/>
      <c r="C32" s="190"/>
      <c r="D32" s="190"/>
      <c r="E32" s="190"/>
      <c r="F32" s="41" t="s">
        <v>78</v>
      </c>
      <c r="G32" s="42">
        <f t="shared" ref="G32" si="6">IF(E29&lt;0.125,"NA",IF(0.125&lt;=E29,(0.8*E29)))</f>
        <v>0.47839999999999999</v>
      </c>
      <c r="H32" s="43"/>
      <c r="I32" s="44"/>
      <c r="J32" s="45">
        <v>0.623</v>
      </c>
      <c r="K32" s="190"/>
      <c r="L32" s="190"/>
      <c r="M32" s="190"/>
      <c r="N32" s="190"/>
      <c r="O32" s="190"/>
      <c r="P32" s="195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1"/>
      <c r="C33" s="191"/>
      <c r="D33" s="191"/>
      <c r="E33" s="191"/>
      <c r="F33" s="46" t="s">
        <v>79</v>
      </c>
      <c r="G33" s="47">
        <f t="shared" ref="G33" si="7">+E29</f>
        <v>0.59799999999999998</v>
      </c>
      <c r="H33" s="48"/>
      <c r="I33" s="49"/>
      <c r="J33" s="50">
        <v>0.58699999999999997</v>
      </c>
      <c r="K33" s="191"/>
      <c r="L33" s="191"/>
      <c r="M33" s="191"/>
      <c r="N33" s="191"/>
      <c r="O33" s="191"/>
      <c r="P33" s="196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9">
        <v>4</v>
      </c>
      <c r="C34" s="212">
        <f t="shared" ref="C34" si="8">C29+$N$12</f>
        <v>5.45</v>
      </c>
      <c r="D34" s="189">
        <v>0.69</v>
      </c>
      <c r="E34" s="189">
        <v>0.68600000000000005</v>
      </c>
      <c r="F34" s="36" t="s">
        <v>75</v>
      </c>
      <c r="G34" s="37">
        <v>0</v>
      </c>
      <c r="H34" s="38"/>
      <c r="I34" s="39"/>
      <c r="J34" s="40"/>
      <c r="K34" s="189"/>
      <c r="L34" s="189"/>
      <c r="M34" s="189"/>
      <c r="N34" s="192"/>
      <c r="O34" s="193"/>
      <c r="P34" s="194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0"/>
      <c r="C35" s="190"/>
      <c r="D35" s="190"/>
      <c r="E35" s="190"/>
      <c r="F35" s="41" t="s">
        <v>76</v>
      </c>
      <c r="G35" s="42">
        <f t="shared" ref="G35" si="9">IF(E34&lt;0.125,"NA",IF(0.125&lt;=E34,(0.2*E34)))</f>
        <v>0.13720000000000002</v>
      </c>
      <c r="H35" s="43"/>
      <c r="I35" s="44"/>
      <c r="J35" s="45"/>
      <c r="K35" s="190"/>
      <c r="L35" s="190"/>
      <c r="M35" s="190"/>
      <c r="N35" s="190"/>
      <c r="O35" s="190"/>
      <c r="P35" s="195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0"/>
      <c r="C36" s="190"/>
      <c r="D36" s="190"/>
      <c r="E36" s="190"/>
      <c r="F36" s="41" t="s">
        <v>77</v>
      </c>
      <c r="G36" s="42">
        <f t="shared" ref="G36" si="10">+E34*0.4</f>
        <v>0.27440000000000003</v>
      </c>
      <c r="H36" s="43"/>
      <c r="I36" s="44"/>
      <c r="J36" s="45"/>
      <c r="K36" s="190"/>
      <c r="L36" s="190"/>
      <c r="M36" s="190"/>
      <c r="N36" s="190"/>
      <c r="O36" s="190"/>
      <c r="P36" s="195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0"/>
      <c r="C37" s="190"/>
      <c r="D37" s="190"/>
      <c r="E37" s="190"/>
      <c r="F37" s="41" t="s">
        <v>78</v>
      </c>
      <c r="G37" s="42">
        <f t="shared" ref="G37" si="11">IF(E34&lt;0.125,"NA",IF(0.125&lt;=E34,(0.8*E34)))</f>
        <v>0.54880000000000007</v>
      </c>
      <c r="H37" s="43"/>
      <c r="I37" s="44"/>
      <c r="J37" s="45"/>
      <c r="K37" s="190"/>
      <c r="L37" s="190"/>
      <c r="M37" s="190"/>
      <c r="N37" s="190"/>
      <c r="O37" s="190"/>
      <c r="P37" s="195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1"/>
      <c r="C38" s="191"/>
      <c r="D38" s="191"/>
      <c r="E38" s="191"/>
      <c r="F38" s="46" t="s">
        <v>79</v>
      </c>
      <c r="G38" s="47">
        <f t="shared" ref="G38" si="12">+E34</f>
        <v>0.68600000000000005</v>
      </c>
      <c r="H38" s="48"/>
      <c r="I38" s="49"/>
      <c r="J38" s="50"/>
      <c r="K38" s="191"/>
      <c r="L38" s="191"/>
      <c r="M38" s="191"/>
      <c r="N38" s="191"/>
      <c r="O38" s="191"/>
      <c r="P38" s="196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9">
        <v>5</v>
      </c>
      <c r="C39" s="212">
        <f t="shared" ref="C39" si="13">C34+$N$12</f>
        <v>6.45</v>
      </c>
      <c r="D39" s="189">
        <v>0.65500000000000003</v>
      </c>
      <c r="E39" s="189">
        <v>0.58699999999999997</v>
      </c>
      <c r="F39" s="36" t="s">
        <v>75</v>
      </c>
      <c r="G39" s="37">
        <v>0</v>
      </c>
      <c r="H39" s="38"/>
      <c r="I39" s="39"/>
      <c r="J39" s="40">
        <v>0.47699999999999998</v>
      </c>
      <c r="K39" s="189">
        <f>+IF(E29&lt;=0.12,(J41),(IF(E29&lt;0.16,((J40+2*J41+J42)/4),IF(E29&gt;=0.16,((J39+3*J40+2*J41+3*J42+J43)/10)))))</f>
        <v>0.73734999999999995</v>
      </c>
      <c r="L39" s="189">
        <f>ROUND(+(D34+D39)/2*(C39-C34),3)</f>
        <v>0.67300000000000004</v>
      </c>
      <c r="M39" s="189">
        <f>ROUND(+K39*L39,4)</f>
        <v>0.49619999999999997</v>
      </c>
      <c r="N39" s="192">
        <f>ROUND(+M39/$M$128*100,2)</f>
        <v>11.36</v>
      </c>
      <c r="O39" s="193"/>
      <c r="P39" s="194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0"/>
      <c r="C40" s="190"/>
      <c r="D40" s="190"/>
      <c r="E40" s="190"/>
      <c r="F40" s="41" t="s">
        <v>76</v>
      </c>
      <c r="G40" s="42">
        <f t="shared" ref="G40" si="14">IF(E39&lt;0.125,"NA",IF(0.125&lt;=E39,(0.2*E39)))</f>
        <v>0.1174</v>
      </c>
      <c r="H40" s="43"/>
      <c r="I40" s="44"/>
      <c r="J40" s="45">
        <v>0.50600000000000001</v>
      </c>
      <c r="K40" s="190"/>
      <c r="L40" s="190"/>
      <c r="M40" s="190"/>
      <c r="N40" s="190"/>
      <c r="O40" s="190"/>
      <c r="P40" s="195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0"/>
      <c r="C41" s="190"/>
      <c r="D41" s="190"/>
      <c r="E41" s="190"/>
      <c r="F41" s="41" t="s">
        <v>77</v>
      </c>
      <c r="G41" s="42">
        <f t="shared" ref="G41" si="15">+E39*0.4</f>
        <v>0.23480000000000001</v>
      </c>
      <c r="H41" s="43"/>
      <c r="I41" s="44"/>
      <c r="J41" s="45">
        <v>0.56200000000000006</v>
      </c>
      <c r="K41" s="190"/>
      <c r="L41" s="190"/>
      <c r="M41" s="190"/>
      <c r="N41" s="190"/>
      <c r="O41" s="190"/>
      <c r="P41" s="195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0"/>
      <c r="C42" s="190"/>
      <c r="D42" s="190"/>
      <c r="E42" s="190"/>
      <c r="F42" s="41" t="s">
        <v>78</v>
      </c>
      <c r="G42" s="42">
        <f t="shared" ref="G42" si="16">IF(E39&lt;0.125,"NA",IF(0.125&lt;=E39,(0.8*E39)))</f>
        <v>0.46960000000000002</v>
      </c>
      <c r="H42" s="43"/>
      <c r="I42" s="44"/>
      <c r="J42" s="45">
        <v>1.036</v>
      </c>
      <c r="K42" s="190"/>
      <c r="L42" s="190"/>
      <c r="M42" s="190"/>
      <c r="N42" s="190"/>
      <c r="O42" s="190"/>
      <c r="P42" s="195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1"/>
      <c r="C43" s="191"/>
      <c r="D43" s="191"/>
      <c r="E43" s="191"/>
      <c r="F43" s="46" t="s">
        <v>79</v>
      </c>
      <c r="G43" s="47">
        <f t="shared" ref="G43" si="17">+E39</f>
        <v>0.58699999999999997</v>
      </c>
      <c r="H43" s="48"/>
      <c r="I43" s="49"/>
      <c r="J43" s="50">
        <v>1.1465000000000001</v>
      </c>
      <c r="K43" s="191"/>
      <c r="L43" s="191"/>
      <c r="M43" s="191"/>
      <c r="N43" s="191"/>
      <c r="O43" s="191"/>
      <c r="P43" s="196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9">
        <v>6</v>
      </c>
      <c r="C44" s="212">
        <f t="shared" ref="C44" si="18">C39+$N$12</f>
        <v>7.45</v>
      </c>
      <c r="D44" s="189">
        <v>0.51</v>
      </c>
      <c r="E44" s="189">
        <v>0.53</v>
      </c>
      <c r="F44" s="36" t="s">
        <v>75</v>
      </c>
      <c r="G44" s="37">
        <v>0</v>
      </c>
      <c r="H44" s="38"/>
      <c r="I44" s="39"/>
      <c r="J44" s="40">
        <v>0.39600000000000002</v>
      </c>
      <c r="K44" s="189">
        <f>+IF(E34&lt;=0.12,(J46),(IF(E34&lt;0.16,((J45+2*J46+J47)/4),IF(E34&gt;=0.16,((J44+3*J45+2*J46+3*J47+J48)/10)))))</f>
        <v>0.81299999999999994</v>
      </c>
      <c r="L44" s="189">
        <f>ROUND(+(D39+D44)/2*(C44-C39),3)</f>
        <v>0.58299999999999996</v>
      </c>
      <c r="M44" s="189">
        <f>ROUND(+K44*L44,4)</f>
        <v>0.47399999999999998</v>
      </c>
      <c r="N44" s="192">
        <f>ROUND(+M44/$M$128*100,2)</f>
        <v>10.85</v>
      </c>
      <c r="O44" s="193"/>
      <c r="P44" s="194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0"/>
      <c r="C45" s="190"/>
      <c r="D45" s="190"/>
      <c r="E45" s="190"/>
      <c r="F45" s="41" t="s">
        <v>76</v>
      </c>
      <c r="G45" s="42">
        <f t="shared" ref="G45" si="19">IF(E44&lt;0.125,"NA",IF(0.125&lt;=E44,(0.2*E44)))</f>
        <v>0.10600000000000001</v>
      </c>
      <c r="H45" s="43"/>
      <c r="I45" s="44"/>
      <c r="J45" s="45">
        <v>0.60199999999999998</v>
      </c>
      <c r="K45" s="190"/>
      <c r="L45" s="190"/>
      <c r="M45" s="190"/>
      <c r="N45" s="190"/>
      <c r="O45" s="190"/>
      <c r="P45" s="195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0"/>
      <c r="C46" s="190"/>
      <c r="D46" s="190"/>
      <c r="E46" s="190"/>
      <c r="F46" s="41" t="s">
        <v>77</v>
      </c>
      <c r="G46" s="42">
        <f t="shared" ref="G46" si="20">+E44*0.4</f>
        <v>0.21200000000000002</v>
      </c>
      <c r="H46" s="43"/>
      <c r="I46" s="44"/>
      <c r="J46" s="45">
        <v>0.59699999999999998</v>
      </c>
      <c r="K46" s="190"/>
      <c r="L46" s="190"/>
      <c r="M46" s="190"/>
      <c r="N46" s="190"/>
      <c r="O46" s="190"/>
      <c r="P46" s="195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0"/>
      <c r="C47" s="190"/>
      <c r="D47" s="190"/>
      <c r="E47" s="190"/>
      <c r="F47" s="41" t="s">
        <v>78</v>
      </c>
      <c r="G47" s="42">
        <f t="shared" ref="G47" si="21">IF(E44&lt;0.125,"NA",IF(0.125&lt;=E44,(0.8*E44)))</f>
        <v>0.42400000000000004</v>
      </c>
      <c r="H47" s="43"/>
      <c r="I47" s="44"/>
      <c r="J47" s="45">
        <v>1.1779999999999999</v>
      </c>
      <c r="K47" s="190"/>
      <c r="L47" s="190"/>
      <c r="M47" s="190"/>
      <c r="N47" s="190"/>
      <c r="O47" s="190"/>
      <c r="P47" s="195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1"/>
      <c r="C48" s="191"/>
      <c r="D48" s="191"/>
      <c r="E48" s="191"/>
      <c r="F48" s="46" t="s">
        <v>79</v>
      </c>
      <c r="G48" s="47">
        <f t="shared" ref="G48" si="22">+E44</f>
        <v>0.53</v>
      </c>
      <c r="H48" s="48"/>
      <c r="I48" s="49"/>
      <c r="J48" s="50">
        <v>1.2</v>
      </c>
      <c r="K48" s="191"/>
      <c r="L48" s="191"/>
      <c r="M48" s="191"/>
      <c r="N48" s="191"/>
      <c r="O48" s="191"/>
      <c r="P48" s="196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9">
        <v>7</v>
      </c>
      <c r="C49" s="212">
        <f t="shared" ref="C49" si="23">C44+$N$12</f>
        <v>8.4499999999999993</v>
      </c>
      <c r="D49" s="189">
        <v>0.36</v>
      </c>
      <c r="E49" s="189">
        <v>0.37</v>
      </c>
      <c r="F49" s="36" t="s">
        <v>75</v>
      </c>
      <c r="G49" s="37">
        <v>0</v>
      </c>
      <c r="H49" s="38"/>
      <c r="I49" s="39"/>
      <c r="J49" s="40">
        <v>0.45600000000000002</v>
      </c>
      <c r="K49" s="189">
        <f>+IF(E49&lt;=0.12,(J51),(IF(E49&lt;0.16,((J50+2*J51+J52)/4),IF(E49&gt;=0.16,((J49+3*J50+2*J51+3*J52+J53)/10)))))</f>
        <v>0.94740000000000002</v>
      </c>
      <c r="L49" s="189">
        <f>ROUND(+(D44+D49)/2*(C49-C44),3)</f>
        <v>0.435</v>
      </c>
      <c r="M49" s="189">
        <f>ROUND(+K49*L49,4)</f>
        <v>0.41210000000000002</v>
      </c>
      <c r="N49" s="192">
        <f>ROUND(+M49/$M$128*100,2)</f>
        <v>9.43</v>
      </c>
      <c r="O49" s="193"/>
      <c r="P49" s="194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0"/>
      <c r="C50" s="190"/>
      <c r="D50" s="190"/>
      <c r="E50" s="190"/>
      <c r="F50" s="41" t="s">
        <v>76</v>
      </c>
      <c r="G50" s="42">
        <f t="shared" ref="G50" si="24">IF(E49&lt;0.125,"NA",IF(0.125&lt;=E49,(0.2*E49)))</f>
        <v>7.3999999999999996E-2</v>
      </c>
      <c r="H50" s="43"/>
      <c r="I50" s="44"/>
      <c r="J50" s="45">
        <v>0.79300000000000004</v>
      </c>
      <c r="K50" s="190"/>
      <c r="L50" s="190"/>
      <c r="M50" s="190"/>
      <c r="N50" s="190"/>
      <c r="O50" s="190"/>
      <c r="P50" s="195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0"/>
      <c r="C51" s="190"/>
      <c r="D51" s="190"/>
      <c r="E51" s="190"/>
      <c r="F51" s="41" t="s">
        <v>77</v>
      </c>
      <c r="G51" s="42">
        <f t="shared" ref="G51" si="25">+E49*0.4</f>
        <v>0.14799999999999999</v>
      </c>
      <c r="H51" s="43"/>
      <c r="I51" s="44"/>
      <c r="J51" s="45">
        <v>0.98899999999999999</v>
      </c>
      <c r="K51" s="190"/>
      <c r="L51" s="190"/>
      <c r="M51" s="190"/>
      <c r="N51" s="190"/>
      <c r="O51" s="190"/>
      <c r="P51" s="195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0"/>
      <c r="C52" s="190"/>
      <c r="D52" s="190"/>
      <c r="E52" s="190"/>
      <c r="F52" s="41" t="s">
        <v>78</v>
      </c>
      <c r="G52" s="42">
        <f t="shared" ref="G52" si="26">IF(E49&lt;0.125,"NA",IF(0.125&lt;=E49,(0.8*E49)))</f>
        <v>0.29599999999999999</v>
      </c>
      <c r="H52" s="43"/>
      <c r="I52" s="44"/>
      <c r="J52" s="45">
        <v>1.137</v>
      </c>
      <c r="K52" s="190"/>
      <c r="L52" s="190"/>
      <c r="M52" s="190"/>
      <c r="N52" s="190"/>
      <c r="O52" s="190"/>
      <c r="P52" s="195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1"/>
      <c r="C53" s="191"/>
      <c r="D53" s="191"/>
      <c r="E53" s="191"/>
      <c r="F53" s="46" t="s">
        <v>79</v>
      </c>
      <c r="G53" s="47">
        <f t="shared" ref="G53" si="27">+E49</f>
        <v>0.37</v>
      </c>
      <c r="H53" s="48"/>
      <c r="I53" s="49"/>
      <c r="J53" s="50">
        <v>1.25</v>
      </c>
      <c r="K53" s="191"/>
      <c r="L53" s="191"/>
      <c r="M53" s="191"/>
      <c r="N53" s="191"/>
      <c r="O53" s="191"/>
      <c r="P53" s="196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9">
        <v>8</v>
      </c>
      <c r="C54" s="212">
        <f t="shared" ref="C54" si="28">C49+$N$12</f>
        <v>9.4499999999999993</v>
      </c>
      <c r="D54" s="189">
        <v>0.4</v>
      </c>
      <c r="E54" s="189">
        <v>0.44700000000000001</v>
      </c>
      <c r="F54" s="36" t="s">
        <v>75</v>
      </c>
      <c r="G54" s="37">
        <v>0</v>
      </c>
      <c r="H54" s="38"/>
      <c r="I54" s="39"/>
      <c r="J54" s="40">
        <v>0.48599999999999999</v>
      </c>
      <c r="K54" s="189">
        <f>+IF(E54&lt;=0.12,(J56),(IF(E54&lt;0.16,((J55+2*J56+J57)/4),IF(E54&gt;=0.16,((J54+3*J55+2*J56+3*J57+J58)/10)))))</f>
        <v>0.94119999999999993</v>
      </c>
      <c r="L54" s="189">
        <f>ROUND(+(D49+D54)/2*(C54-C49),3)</f>
        <v>0.38</v>
      </c>
      <c r="M54" s="189">
        <f>ROUND(+K54*L54,4)</f>
        <v>0.35770000000000002</v>
      </c>
      <c r="N54" s="192">
        <f>ROUND(+M54/$M$128*100,2)</f>
        <v>8.19</v>
      </c>
      <c r="O54" s="193"/>
      <c r="P54" s="194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0"/>
      <c r="C55" s="190"/>
      <c r="D55" s="190"/>
      <c r="E55" s="190"/>
      <c r="F55" s="41" t="s">
        <v>76</v>
      </c>
      <c r="G55" s="42">
        <f t="shared" ref="G55" si="29">IF(E54&lt;0.125,"NA",IF(0.125&lt;=E54,(0.2*E54)))</f>
        <v>8.9400000000000007E-2</v>
      </c>
      <c r="H55" s="43"/>
      <c r="I55" s="44"/>
      <c r="J55" s="45">
        <v>0.89300000000000002</v>
      </c>
      <c r="K55" s="190"/>
      <c r="L55" s="190"/>
      <c r="M55" s="190"/>
      <c r="N55" s="190"/>
      <c r="O55" s="190"/>
      <c r="P55" s="195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0"/>
      <c r="C56" s="190"/>
      <c r="D56" s="190"/>
      <c r="E56" s="190"/>
      <c r="F56" s="41" t="s">
        <v>77</v>
      </c>
      <c r="G56" s="42">
        <f t="shared" ref="G56" si="30">+E54*0.4</f>
        <v>0.17880000000000001</v>
      </c>
      <c r="H56" s="43"/>
      <c r="I56" s="44"/>
      <c r="J56" s="45">
        <v>0.95599999999999996</v>
      </c>
      <c r="K56" s="190"/>
      <c r="L56" s="190"/>
      <c r="M56" s="190"/>
      <c r="N56" s="190"/>
      <c r="O56" s="190"/>
      <c r="P56" s="195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0"/>
      <c r="C57" s="190"/>
      <c r="D57" s="190"/>
      <c r="E57" s="190"/>
      <c r="F57" s="41" t="s">
        <v>78</v>
      </c>
      <c r="G57" s="42">
        <f t="shared" ref="G57" si="31">IF(E54&lt;0.125,"NA",IF(0.125&lt;=E54,(0.8*E54)))</f>
        <v>0.35760000000000003</v>
      </c>
      <c r="H57" s="43"/>
      <c r="I57" s="44"/>
      <c r="J57" s="45">
        <v>1.077</v>
      </c>
      <c r="K57" s="190"/>
      <c r="L57" s="190"/>
      <c r="M57" s="190"/>
      <c r="N57" s="190"/>
      <c r="O57" s="190"/>
      <c r="P57" s="195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1"/>
      <c r="C58" s="191"/>
      <c r="D58" s="191"/>
      <c r="E58" s="191"/>
      <c r="F58" s="46" t="s">
        <v>79</v>
      </c>
      <c r="G58" s="47">
        <f t="shared" ref="G58" si="32">+E54</f>
        <v>0.44700000000000001</v>
      </c>
      <c r="H58" s="48"/>
      <c r="I58" s="49"/>
      <c r="J58" s="50">
        <v>1.1040000000000001</v>
      </c>
      <c r="K58" s="191"/>
      <c r="L58" s="191"/>
      <c r="M58" s="191"/>
      <c r="N58" s="191"/>
      <c r="O58" s="191"/>
      <c r="P58" s="196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9">
        <v>9</v>
      </c>
      <c r="C59" s="212">
        <f t="shared" ref="C59" si="33">C54+$N$12</f>
        <v>10.45</v>
      </c>
      <c r="D59" s="189">
        <v>0.37</v>
      </c>
      <c r="E59" s="189">
        <v>0.20200000000000001</v>
      </c>
      <c r="F59" s="36" t="s">
        <v>75</v>
      </c>
      <c r="G59" s="37">
        <v>0</v>
      </c>
      <c r="H59" s="38"/>
      <c r="I59" s="39"/>
      <c r="J59" s="40">
        <v>0.40200000000000002</v>
      </c>
      <c r="K59" s="189">
        <f t="shared" ref="K59" si="34">+IF(E59&lt;=0.12,(J61),(IF(E59&lt;0.16,((J60+2*J61+J62)/4),IF(E59&gt;=0.16,((J59+3*J60+2*J61+3*J62+J63)/10)))))</f>
        <v>0.92469999999999997</v>
      </c>
      <c r="L59" s="189">
        <f t="shared" ref="L59" si="35">ROUND(+(D54+D59)/2*(C59-C54),3)</f>
        <v>0.38500000000000001</v>
      </c>
      <c r="M59" s="189">
        <f t="shared" ref="M59" si="36">ROUND(+K59*L59,4)</f>
        <v>0.35599999999999998</v>
      </c>
      <c r="N59" s="192">
        <f t="shared" ref="N59" si="37">ROUND(+M59/$M$128*100,2)</f>
        <v>8.15</v>
      </c>
      <c r="O59" s="193"/>
      <c r="P59" s="194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0"/>
      <c r="C60" s="190"/>
      <c r="D60" s="190"/>
      <c r="E60" s="190"/>
      <c r="F60" s="41" t="s">
        <v>76</v>
      </c>
      <c r="G60" s="42">
        <f t="shared" ref="G60" si="38">IF(E59&lt;0.125,"NA",IF(0.125&lt;=E59,(0.2*E59)))</f>
        <v>4.0400000000000005E-2</v>
      </c>
      <c r="H60" s="43"/>
      <c r="I60" s="44"/>
      <c r="J60" s="45">
        <v>0.78200000000000003</v>
      </c>
      <c r="K60" s="190"/>
      <c r="L60" s="190"/>
      <c r="M60" s="190"/>
      <c r="N60" s="190"/>
      <c r="O60" s="190"/>
      <c r="P60" s="195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0"/>
      <c r="C61" s="190"/>
      <c r="D61" s="190"/>
      <c r="E61" s="190"/>
      <c r="F61" s="41" t="s">
        <v>77</v>
      </c>
      <c r="G61" s="42">
        <f t="shared" ref="G61" si="39">+E59*0.4</f>
        <v>8.0800000000000011E-2</v>
      </c>
      <c r="H61" s="43"/>
      <c r="I61" s="44"/>
      <c r="J61" s="45">
        <v>1.056</v>
      </c>
      <c r="K61" s="190"/>
      <c r="L61" s="190"/>
      <c r="M61" s="190"/>
      <c r="N61" s="190"/>
      <c r="O61" s="190"/>
      <c r="P61" s="195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0"/>
      <c r="C62" s="190"/>
      <c r="D62" s="190"/>
      <c r="E62" s="190"/>
      <c r="F62" s="41" t="s">
        <v>78</v>
      </c>
      <c r="G62" s="42">
        <f t="shared" ref="G62" si="40">IF(E59&lt;0.125,"NA",IF(0.125&lt;=E59,(0.8*E59)))</f>
        <v>0.16160000000000002</v>
      </c>
      <c r="H62" s="43"/>
      <c r="I62" s="44"/>
      <c r="J62" s="45">
        <v>1.022</v>
      </c>
      <c r="K62" s="190"/>
      <c r="L62" s="190"/>
      <c r="M62" s="190"/>
      <c r="N62" s="190"/>
      <c r="O62" s="190"/>
      <c r="P62" s="195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1"/>
      <c r="C63" s="191"/>
      <c r="D63" s="191"/>
      <c r="E63" s="191"/>
      <c r="F63" s="46" t="s">
        <v>79</v>
      </c>
      <c r="G63" s="47">
        <f t="shared" ref="G63" si="41">+E59</f>
        <v>0.20200000000000001</v>
      </c>
      <c r="H63" s="48"/>
      <c r="I63" s="49"/>
      <c r="J63" s="50">
        <v>1.321</v>
      </c>
      <c r="K63" s="191"/>
      <c r="L63" s="191"/>
      <c r="M63" s="191"/>
      <c r="N63" s="191"/>
      <c r="O63" s="191"/>
      <c r="P63" s="196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9">
        <v>10</v>
      </c>
      <c r="C64" s="212">
        <f t="shared" ref="C64" si="42">C59+$N$12</f>
        <v>11.45</v>
      </c>
      <c r="D64" s="189">
        <v>0.39</v>
      </c>
      <c r="E64" s="189">
        <v>0.32800000000000001</v>
      </c>
      <c r="F64" s="36" t="s">
        <v>75</v>
      </c>
      <c r="G64" s="37">
        <v>0</v>
      </c>
      <c r="H64" s="38"/>
      <c r="I64" s="39"/>
      <c r="J64" s="40">
        <v>0.39800000000000002</v>
      </c>
      <c r="K64" s="189">
        <f t="shared" ref="K64" si="43">+IF(E64&lt;=0.12,(J66),(IF(E64&lt;0.16,((J65+2*J66+J67)/4),IF(E64&gt;=0.16,((J64+3*J65+2*J66+3*J67+J68)/10)))))</f>
        <v>0.92319999999999991</v>
      </c>
      <c r="L64" s="189">
        <f t="shared" ref="L64" si="44">ROUND(+(D59+D64)/2*(C64-C59),3)</f>
        <v>0.38</v>
      </c>
      <c r="M64" s="189">
        <f t="shared" ref="M64" si="45">ROUND(+K64*L64,4)</f>
        <v>0.3508</v>
      </c>
      <c r="N64" s="192">
        <f t="shared" ref="N64" si="46">ROUND(+M64/$M$128*100,2)</f>
        <v>8.0299999999999994</v>
      </c>
      <c r="O64" s="193"/>
      <c r="P64" s="194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0"/>
      <c r="C65" s="190"/>
      <c r="D65" s="190"/>
      <c r="E65" s="190"/>
      <c r="F65" s="41" t="s">
        <v>76</v>
      </c>
      <c r="G65" s="42">
        <f t="shared" ref="G65" si="47">IF(E64&lt;0.125,"NA",IF(0.125&lt;=E64,(0.2*E64)))</f>
        <v>6.5600000000000006E-2</v>
      </c>
      <c r="H65" s="43"/>
      <c r="I65" s="44"/>
      <c r="J65" s="45">
        <v>0.78900000000000003</v>
      </c>
      <c r="K65" s="190"/>
      <c r="L65" s="190"/>
      <c r="M65" s="190"/>
      <c r="N65" s="190"/>
      <c r="O65" s="190"/>
      <c r="P65" s="195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0"/>
      <c r="C66" s="190"/>
      <c r="D66" s="190"/>
      <c r="E66" s="190"/>
      <c r="F66" s="41" t="s">
        <v>77</v>
      </c>
      <c r="G66" s="42">
        <f t="shared" ref="G66" si="48">+E64*0.4</f>
        <v>0.13120000000000001</v>
      </c>
      <c r="H66" s="43"/>
      <c r="I66" s="44"/>
      <c r="J66" s="45">
        <v>0.96399999999999997</v>
      </c>
      <c r="K66" s="190"/>
      <c r="L66" s="190"/>
      <c r="M66" s="190"/>
      <c r="N66" s="190"/>
      <c r="O66" s="190"/>
      <c r="P66" s="195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0"/>
      <c r="C67" s="190"/>
      <c r="D67" s="190"/>
      <c r="E67" s="190"/>
      <c r="F67" s="41" t="s">
        <v>78</v>
      </c>
      <c r="G67" s="42">
        <f t="shared" ref="G67" si="49">IF(E64&lt;0.125,"NA",IF(0.125&lt;=E64,(0.8*E64)))</f>
        <v>0.26240000000000002</v>
      </c>
      <c r="H67" s="43"/>
      <c r="I67" s="44"/>
      <c r="J67" s="45">
        <v>1.1020000000000001</v>
      </c>
      <c r="K67" s="190"/>
      <c r="L67" s="190"/>
      <c r="M67" s="190"/>
      <c r="N67" s="190"/>
      <c r="O67" s="190"/>
      <c r="P67" s="195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1"/>
      <c r="C68" s="191"/>
      <c r="D68" s="191"/>
      <c r="E68" s="191"/>
      <c r="F68" s="46" t="s">
        <v>79</v>
      </c>
      <c r="G68" s="47">
        <f t="shared" ref="G68" si="50">+E64</f>
        <v>0.32800000000000001</v>
      </c>
      <c r="H68" s="48"/>
      <c r="I68" s="49"/>
      <c r="J68" s="50">
        <v>1.2330000000000001</v>
      </c>
      <c r="K68" s="191"/>
      <c r="L68" s="191"/>
      <c r="M68" s="191"/>
      <c r="N68" s="191"/>
      <c r="O68" s="191"/>
      <c r="P68" s="196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9">
        <v>11</v>
      </c>
      <c r="C69" s="212">
        <f t="shared" ref="C69" si="51">C64+$N$12</f>
        <v>12.45</v>
      </c>
      <c r="D69" s="189">
        <v>0.185</v>
      </c>
      <c r="E69" s="189">
        <v>0.248</v>
      </c>
      <c r="F69" s="36" t="s">
        <v>75</v>
      </c>
      <c r="G69" s="37">
        <v>0</v>
      </c>
      <c r="H69" s="38"/>
      <c r="I69" s="39"/>
      <c r="J69" s="40">
        <v>0.42499999999999999</v>
      </c>
      <c r="K69" s="189">
        <f t="shared" ref="K69" si="52">+IF(E69&lt;=0.12,(J71),(IF(E69&lt;0.16,((J70+2*J71+J72)/4),IF(E69&gt;=0.16,((J69+3*J70+2*J71+3*J72+J73)/10)))))</f>
        <v>0.68710000000000004</v>
      </c>
      <c r="L69" s="189">
        <f>ROUND(+(D64+D69)/2*(C69-C64),3)</f>
        <v>0.28799999999999998</v>
      </c>
      <c r="M69" s="189">
        <f t="shared" ref="M69" si="53">ROUND(+K69*L69,4)</f>
        <v>0.19789999999999999</v>
      </c>
      <c r="N69" s="192">
        <f t="shared" ref="N69" si="54">ROUND(+M69/$M$128*100,2)</f>
        <v>4.53</v>
      </c>
      <c r="O69" s="193"/>
      <c r="P69" s="194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0"/>
      <c r="C70" s="190"/>
      <c r="D70" s="190"/>
      <c r="E70" s="190"/>
      <c r="F70" s="41" t="s">
        <v>76</v>
      </c>
      <c r="G70" s="42">
        <f t="shared" ref="G70" si="55">IF(E69&lt;0.125,"NA",IF(0.125&lt;=E69,(0.2*E69)))</f>
        <v>4.9600000000000005E-2</v>
      </c>
      <c r="H70" s="43"/>
      <c r="I70" s="44"/>
      <c r="J70" s="45">
        <v>0.47199999999999998</v>
      </c>
      <c r="K70" s="190"/>
      <c r="L70" s="190"/>
      <c r="M70" s="190"/>
      <c r="N70" s="190"/>
      <c r="O70" s="190"/>
      <c r="P70" s="195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0"/>
      <c r="C71" s="190"/>
      <c r="D71" s="190"/>
      <c r="E71" s="190"/>
      <c r="F71" s="41" t="s">
        <v>77</v>
      </c>
      <c r="G71" s="42">
        <f t="shared" ref="G71" si="56">+E69*0.4</f>
        <v>9.920000000000001E-2</v>
      </c>
      <c r="H71" s="43"/>
      <c r="I71" s="44"/>
      <c r="J71" s="45">
        <v>0.71399999999999997</v>
      </c>
      <c r="K71" s="190"/>
      <c r="L71" s="190"/>
      <c r="M71" s="190"/>
      <c r="N71" s="190"/>
      <c r="O71" s="190"/>
      <c r="P71" s="195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0"/>
      <c r="C72" s="190"/>
      <c r="D72" s="190"/>
      <c r="E72" s="190"/>
      <c r="F72" s="41" t="s">
        <v>78</v>
      </c>
      <c r="G72" s="42">
        <f t="shared" ref="G72" si="57">IF(E69&lt;0.125,"NA",IF(0.125&lt;=E69,(0.8*E69)))</f>
        <v>0.19840000000000002</v>
      </c>
      <c r="H72" s="43"/>
      <c r="I72" s="44"/>
      <c r="J72" s="45">
        <v>0.91400000000000003</v>
      </c>
      <c r="K72" s="190"/>
      <c r="L72" s="190"/>
      <c r="M72" s="190"/>
      <c r="N72" s="190"/>
      <c r="O72" s="190"/>
      <c r="P72" s="195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1"/>
      <c r="C73" s="191"/>
      <c r="D73" s="191"/>
      <c r="E73" s="191"/>
      <c r="F73" s="46" t="s">
        <v>79</v>
      </c>
      <c r="G73" s="47">
        <f t="shared" ref="G73" si="58">+E69</f>
        <v>0.248</v>
      </c>
      <c r="H73" s="48"/>
      <c r="I73" s="49"/>
      <c r="J73" s="50">
        <v>0.86</v>
      </c>
      <c r="K73" s="191"/>
      <c r="L73" s="191"/>
      <c r="M73" s="191"/>
      <c r="N73" s="191"/>
      <c r="O73" s="191"/>
      <c r="P73" s="196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9">
        <v>12</v>
      </c>
      <c r="C74" s="212">
        <f t="shared" ref="C74" si="59">C69+$N$12</f>
        <v>13.45</v>
      </c>
      <c r="D74" s="189">
        <v>0.187</v>
      </c>
      <c r="E74" s="189">
        <v>0.22500000000000001</v>
      </c>
      <c r="F74" s="36" t="s">
        <v>75</v>
      </c>
      <c r="G74" s="37">
        <v>0</v>
      </c>
      <c r="H74" s="38"/>
      <c r="I74" s="39"/>
      <c r="J74" s="40">
        <v>0.52600000000000002</v>
      </c>
      <c r="K74" s="189">
        <f t="shared" ref="K74" si="60">+IF(E74&lt;=0.12,(J76),(IF(E74&lt;0.16,((J75+2*J76+J77)/4),IF(E74&gt;=0.16,((J74+3*J75+2*J76+3*J77+J78)/10)))))</f>
        <v>0.81859999999999999</v>
      </c>
      <c r="L74" s="189">
        <f>ROUND(+(D69+D74)/2*(C74-C69),3)</f>
        <v>0.186</v>
      </c>
      <c r="M74" s="189">
        <f t="shared" ref="M74" si="61">ROUND(+K74*L74,4)</f>
        <v>0.15229999999999999</v>
      </c>
      <c r="N74" s="192">
        <f t="shared" ref="N74" si="62">ROUND(+M74/$M$128*100,2)</f>
        <v>3.49</v>
      </c>
      <c r="O74" s="193"/>
      <c r="P74" s="194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0"/>
      <c r="C75" s="190"/>
      <c r="D75" s="190"/>
      <c r="E75" s="190"/>
      <c r="F75" s="41" t="s">
        <v>76</v>
      </c>
      <c r="G75" s="42">
        <f t="shared" ref="G75" si="63">IF(E74&lt;0.125,"NA",IF(0.125&lt;=E74,(0.2*E74)))</f>
        <v>4.5000000000000005E-2</v>
      </c>
      <c r="H75" s="43"/>
      <c r="I75" s="44"/>
      <c r="J75" s="45">
        <v>0.67900000000000005</v>
      </c>
      <c r="K75" s="190"/>
      <c r="L75" s="190"/>
      <c r="M75" s="190"/>
      <c r="N75" s="190"/>
      <c r="O75" s="190"/>
      <c r="P75" s="195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0"/>
      <c r="C76" s="190"/>
      <c r="D76" s="190"/>
      <c r="E76" s="190"/>
      <c r="F76" s="41" t="s">
        <v>77</v>
      </c>
      <c r="G76" s="42">
        <f t="shared" ref="G76" si="64">+E74*0.4</f>
        <v>9.0000000000000011E-2</v>
      </c>
      <c r="H76" s="43"/>
      <c r="I76" s="44"/>
      <c r="J76" s="45">
        <v>0.81499999999999995</v>
      </c>
      <c r="K76" s="190"/>
      <c r="L76" s="190"/>
      <c r="M76" s="190"/>
      <c r="N76" s="190"/>
      <c r="O76" s="190"/>
      <c r="P76" s="195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0"/>
      <c r="C77" s="190"/>
      <c r="D77" s="190"/>
      <c r="E77" s="190"/>
      <c r="F77" s="41" t="s">
        <v>78</v>
      </c>
      <c r="G77" s="42">
        <f t="shared" ref="G77" si="65">IF(E74&lt;0.125,"NA",IF(0.125&lt;=E74,(0.8*E74)))</f>
        <v>0.18000000000000002</v>
      </c>
      <c r="H77" s="43"/>
      <c r="I77" s="44"/>
      <c r="J77" s="45">
        <v>1.002</v>
      </c>
      <c r="K77" s="190"/>
      <c r="L77" s="190"/>
      <c r="M77" s="190"/>
      <c r="N77" s="190"/>
      <c r="O77" s="190"/>
      <c r="P77" s="195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1"/>
      <c r="C78" s="191"/>
      <c r="D78" s="191"/>
      <c r="E78" s="191"/>
      <c r="F78" s="46" t="s">
        <v>79</v>
      </c>
      <c r="G78" s="47">
        <f t="shared" ref="G78" si="66">+E74</f>
        <v>0.22500000000000001</v>
      </c>
      <c r="H78" s="48"/>
      <c r="I78" s="49"/>
      <c r="J78" s="50">
        <v>0.98699999999999999</v>
      </c>
      <c r="K78" s="191"/>
      <c r="L78" s="191"/>
      <c r="M78" s="191"/>
      <c r="N78" s="191"/>
      <c r="O78" s="191"/>
      <c r="P78" s="196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9">
        <v>13</v>
      </c>
      <c r="C79" s="212">
        <f t="shared" ref="C79" si="67">C74+$N$12</f>
        <v>14.45</v>
      </c>
      <c r="D79" s="189">
        <v>0.21</v>
      </c>
      <c r="E79" s="189">
        <v>0.14699999999999999</v>
      </c>
      <c r="F79" s="36" t="s">
        <v>75</v>
      </c>
      <c r="G79" s="37">
        <v>0</v>
      </c>
      <c r="H79" s="38"/>
      <c r="I79" s="39"/>
      <c r="J79" s="40">
        <v>0.60399999999999998</v>
      </c>
      <c r="K79" s="189">
        <f t="shared" ref="K79" si="68">+IF(E79&lt;=0.12,(J81),(IF(E79&lt;0.16,((J80+2*J81+J82)/4),IF(E79&gt;=0.16,((J79+3*J80+2*J81+3*J82+J83)/10)))))</f>
        <v>0.76824999999999999</v>
      </c>
      <c r="L79" s="189">
        <f>ROUND(+(D74+D79)/2*(C79-C74),3)</f>
        <v>0.19900000000000001</v>
      </c>
      <c r="M79" s="189">
        <f t="shared" ref="M79" si="69">ROUND(+K79*L79,4)</f>
        <v>0.15290000000000001</v>
      </c>
      <c r="N79" s="192">
        <f t="shared" ref="N79" si="70">ROUND(+M79/$M$128*100,2)</f>
        <v>3.5</v>
      </c>
      <c r="O79" s="193"/>
      <c r="P79" s="194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0"/>
      <c r="C80" s="190"/>
      <c r="D80" s="190"/>
      <c r="E80" s="190"/>
      <c r="F80" s="41" t="s">
        <v>76</v>
      </c>
      <c r="G80" s="42">
        <f t="shared" ref="G80" si="71">IF(E79&lt;0.125,"NA",IF(0.125&lt;=E79,(0.2*E79)))</f>
        <v>2.9399999999999999E-2</v>
      </c>
      <c r="H80" s="43"/>
      <c r="I80" s="44"/>
      <c r="J80" s="45">
        <v>0.70299999999999996</v>
      </c>
      <c r="K80" s="190"/>
      <c r="L80" s="190"/>
      <c r="M80" s="190"/>
      <c r="N80" s="190"/>
      <c r="O80" s="190"/>
      <c r="P80" s="195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0"/>
      <c r="C81" s="190"/>
      <c r="D81" s="190"/>
      <c r="E81" s="190"/>
      <c r="F81" s="41" t="s">
        <v>77</v>
      </c>
      <c r="G81" s="42">
        <f t="shared" ref="G81" si="72">+E79*0.4</f>
        <v>5.8799999999999998E-2</v>
      </c>
      <c r="H81" s="43"/>
      <c r="I81" s="44"/>
      <c r="J81" s="45">
        <v>0.753</v>
      </c>
      <c r="K81" s="190"/>
      <c r="L81" s="190"/>
      <c r="M81" s="190"/>
      <c r="N81" s="190"/>
      <c r="O81" s="190"/>
      <c r="P81" s="195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0"/>
      <c r="C82" s="190"/>
      <c r="D82" s="190"/>
      <c r="E82" s="190"/>
      <c r="F82" s="41" t="s">
        <v>78</v>
      </c>
      <c r="G82" s="42">
        <f t="shared" ref="G82" si="73">IF(E79&lt;0.125,"NA",IF(0.125&lt;=E79,(0.8*E79)))</f>
        <v>0.1176</v>
      </c>
      <c r="H82" s="43"/>
      <c r="I82" s="44"/>
      <c r="J82" s="45">
        <v>0.86399999999999999</v>
      </c>
      <c r="K82" s="190"/>
      <c r="L82" s="190"/>
      <c r="M82" s="190"/>
      <c r="N82" s="190"/>
      <c r="O82" s="190"/>
      <c r="P82" s="195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1"/>
      <c r="C83" s="191"/>
      <c r="D83" s="191"/>
      <c r="E83" s="191"/>
      <c r="F83" s="46" t="s">
        <v>79</v>
      </c>
      <c r="G83" s="47">
        <f t="shared" ref="G83" si="74">+E79</f>
        <v>0.14699999999999999</v>
      </c>
      <c r="H83" s="48"/>
      <c r="I83" s="49"/>
      <c r="J83" s="50">
        <v>0.85</v>
      </c>
      <c r="K83" s="191"/>
      <c r="L83" s="191"/>
      <c r="M83" s="191"/>
      <c r="N83" s="191"/>
      <c r="O83" s="191"/>
      <c r="P83" s="196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9">
        <v>14</v>
      </c>
      <c r="C84" s="212">
        <f t="shared" ref="C84" si="75">C79+$N$12</f>
        <v>15.45</v>
      </c>
      <c r="D84" s="189">
        <v>0.309</v>
      </c>
      <c r="E84" s="189">
        <v>0.22800000000000001</v>
      </c>
      <c r="F84" s="36" t="s">
        <v>75</v>
      </c>
      <c r="G84" s="37">
        <v>0</v>
      </c>
      <c r="H84" s="38"/>
      <c r="I84" s="39"/>
      <c r="J84" s="40">
        <v>0.60499999999999998</v>
      </c>
      <c r="K84" s="189">
        <f t="shared" ref="K84" si="76">+IF(E84&lt;=0.12,(J86),(IF(E84&lt;0.16,((J85+2*J86+J87)/4),IF(E84&gt;=0.16,((J84+3*J85+2*J86+3*J87+J88)/10)))))</f>
        <v>0.80840000000000001</v>
      </c>
      <c r="L84" s="189">
        <f>ROUND(+(D79+D84)/2*(C84-C79),3)</f>
        <v>0.26</v>
      </c>
      <c r="M84" s="189">
        <f t="shared" ref="M84" si="77">ROUND(+K84*L84,4)</f>
        <v>0.2102</v>
      </c>
      <c r="N84" s="192">
        <f t="shared" ref="N84" si="78">ROUND(+M84/$M$128*100,2)</f>
        <v>4.8099999999999996</v>
      </c>
      <c r="O84" s="193"/>
      <c r="P84" s="194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0"/>
      <c r="C85" s="190"/>
      <c r="D85" s="190"/>
      <c r="E85" s="190"/>
      <c r="F85" s="41" t="s">
        <v>76</v>
      </c>
      <c r="G85" s="42">
        <f t="shared" ref="G85" si="79">IF(E84&lt;0.125,"NA",IF(0.125&lt;=E84,(0.2*E84)))</f>
        <v>4.5600000000000002E-2</v>
      </c>
      <c r="H85" s="43"/>
      <c r="I85" s="44"/>
      <c r="J85" s="45">
        <v>0.78500000000000003</v>
      </c>
      <c r="K85" s="190"/>
      <c r="L85" s="190"/>
      <c r="M85" s="190"/>
      <c r="N85" s="190"/>
      <c r="O85" s="190"/>
      <c r="P85" s="195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0"/>
      <c r="C86" s="190"/>
      <c r="D86" s="190"/>
      <c r="E86" s="190"/>
      <c r="F86" s="41" t="s">
        <v>77</v>
      </c>
      <c r="G86" s="42">
        <f t="shared" ref="G86" si="80">+E84*0.4</f>
        <v>9.1200000000000003E-2</v>
      </c>
      <c r="H86" s="43"/>
      <c r="I86" s="44"/>
      <c r="J86" s="45">
        <v>0.81399999999999995</v>
      </c>
      <c r="K86" s="190"/>
      <c r="L86" s="190"/>
      <c r="M86" s="190"/>
      <c r="N86" s="190"/>
      <c r="O86" s="190"/>
      <c r="P86" s="195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0"/>
      <c r="C87" s="190"/>
      <c r="D87" s="190"/>
      <c r="E87" s="190"/>
      <c r="F87" s="41" t="s">
        <v>78</v>
      </c>
      <c r="G87" s="42">
        <f t="shared" ref="G87" si="81">IF(E84&lt;0.125,"NA",IF(0.125&lt;=E84,(0.8*E84)))</f>
        <v>0.18240000000000001</v>
      </c>
      <c r="H87" s="43"/>
      <c r="I87" s="44"/>
      <c r="J87" s="45">
        <v>0.87</v>
      </c>
      <c r="K87" s="190"/>
      <c r="L87" s="190"/>
      <c r="M87" s="190"/>
      <c r="N87" s="190"/>
      <c r="O87" s="190"/>
      <c r="P87" s="195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1"/>
      <c r="C88" s="191"/>
      <c r="D88" s="191"/>
      <c r="E88" s="191"/>
      <c r="F88" s="46" t="s">
        <v>79</v>
      </c>
      <c r="G88" s="47">
        <f t="shared" ref="G88" si="82">+E84</f>
        <v>0.22800000000000001</v>
      </c>
      <c r="H88" s="48"/>
      <c r="I88" s="49"/>
      <c r="J88" s="50">
        <v>0.88600000000000001</v>
      </c>
      <c r="K88" s="191"/>
      <c r="L88" s="191"/>
      <c r="M88" s="191"/>
      <c r="N88" s="191"/>
      <c r="O88" s="191"/>
      <c r="P88" s="196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09">
        <v>15</v>
      </c>
      <c r="C89" s="212">
        <f t="shared" ref="C89" si="83">C84+$N$12</f>
        <v>16.45</v>
      </c>
      <c r="D89" s="189">
        <v>0.14299999999999999</v>
      </c>
      <c r="E89" s="189">
        <v>0.121</v>
      </c>
      <c r="F89" s="36" t="s">
        <v>75</v>
      </c>
      <c r="G89" s="37">
        <v>0</v>
      </c>
      <c r="H89" s="38"/>
      <c r="I89" s="39"/>
      <c r="J89" s="40">
        <v>0.30599999999999999</v>
      </c>
      <c r="K89" s="189">
        <f t="shared" ref="K89" si="84">+IF(E89&lt;=0.12,(J91),(IF(E89&lt;0.16,((J90+2*J91+J92)/4),IF(E89&gt;=0.16,((J89+3*J90+2*J91+3*J92+J93)/10)))))</f>
        <v>0.17299999999999999</v>
      </c>
      <c r="L89" s="189">
        <f>ROUND(+(D84+D89)/2*(C89-C84),3)</f>
        <v>0.22600000000000001</v>
      </c>
      <c r="M89" s="189">
        <f t="shared" ref="M89" si="85">ROUND(+K89*L89,4)</f>
        <v>3.9100000000000003E-2</v>
      </c>
      <c r="N89" s="192">
        <f t="shared" ref="N89" si="86">ROUND(+M89/$M$128*100,2)</f>
        <v>0.9</v>
      </c>
      <c r="O89" s="193"/>
      <c r="P89" s="194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0"/>
      <c r="C90" s="190"/>
      <c r="D90" s="190"/>
      <c r="E90" s="190"/>
      <c r="F90" s="41" t="s">
        <v>76</v>
      </c>
      <c r="G90" s="42" t="str">
        <f t="shared" ref="G90" si="87">IF(E89&lt;0.125,"NA",IF(0.125&lt;=E89,(0.2*E89)))</f>
        <v>NA</v>
      </c>
      <c r="H90" s="43"/>
      <c r="I90" s="44"/>
      <c r="J90" s="45"/>
      <c r="K90" s="190"/>
      <c r="L90" s="190"/>
      <c r="M90" s="190"/>
      <c r="N90" s="190"/>
      <c r="O90" s="190"/>
      <c r="P90" s="195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0"/>
      <c r="C91" s="190"/>
      <c r="D91" s="190"/>
      <c r="E91" s="190"/>
      <c r="F91" s="41" t="s">
        <v>77</v>
      </c>
      <c r="G91" s="42">
        <f t="shared" ref="G91" si="88">+E89*0.4</f>
        <v>4.8399999999999999E-2</v>
      </c>
      <c r="H91" s="43"/>
      <c r="I91" s="44"/>
      <c r="J91" s="45">
        <v>0.34599999999999997</v>
      </c>
      <c r="K91" s="190"/>
      <c r="L91" s="190"/>
      <c r="M91" s="190"/>
      <c r="N91" s="190"/>
      <c r="O91" s="190"/>
      <c r="P91" s="195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0"/>
      <c r="C92" s="190"/>
      <c r="D92" s="190"/>
      <c r="E92" s="190"/>
      <c r="F92" s="41" t="s">
        <v>78</v>
      </c>
      <c r="G92" s="42" t="str">
        <f t="shared" ref="G92" si="89">IF(E89&lt;0.125,"NA",IF(0.125&lt;=E89,(0.8*E89)))</f>
        <v>NA</v>
      </c>
      <c r="H92" s="43"/>
      <c r="I92" s="44"/>
      <c r="J92" s="45"/>
      <c r="K92" s="190"/>
      <c r="L92" s="190"/>
      <c r="M92" s="190"/>
      <c r="N92" s="190"/>
      <c r="O92" s="190"/>
      <c r="P92" s="195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1"/>
      <c r="C93" s="191"/>
      <c r="D93" s="191"/>
      <c r="E93" s="191"/>
      <c r="F93" s="46" t="s">
        <v>79</v>
      </c>
      <c r="G93" s="47">
        <f t="shared" ref="G93" si="90">+E89</f>
        <v>0.121</v>
      </c>
      <c r="H93" s="48"/>
      <c r="I93" s="49"/>
      <c r="J93" s="50">
        <v>0.32600000000000001</v>
      </c>
      <c r="K93" s="191"/>
      <c r="L93" s="191"/>
      <c r="M93" s="191"/>
      <c r="N93" s="191"/>
      <c r="O93" s="191"/>
      <c r="P93" s="196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9">
        <v>16</v>
      </c>
      <c r="C94" s="212">
        <f t="shared" ref="C94" si="91">C89+$N$12</f>
        <v>17.45</v>
      </c>
      <c r="D94" s="189">
        <v>0.14399999999999999</v>
      </c>
      <c r="E94" s="189">
        <v>7.2999999999999995E-2</v>
      </c>
      <c r="F94" s="36" t="s">
        <v>75</v>
      </c>
      <c r="G94" s="37">
        <v>0</v>
      </c>
      <c r="H94" s="38"/>
      <c r="I94" s="39"/>
      <c r="J94" s="40">
        <v>0.28599999999999998</v>
      </c>
      <c r="K94" s="189">
        <f t="shared" ref="K94" si="92">+IF(E94&lt;=0.12,(J96),(IF(E94&lt;0.16,((J95+2*J96+J97)/4),IF(E94&gt;=0.16,((J94+3*J95+2*J96+3*J97+J98)/10)))))</f>
        <v>0.307</v>
      </c>
      <c r="L94" s="189">
        <f>ROUND(+(D89+D94)/2*(C94-C89),3)</f>
        <v>0.14399999999999999</v>
      </c>
      <c r="M94" s="189">
        <f t="shared" ref="M94" si="93">ROUND(+K94*L94,4)</f>
        <v>4.4200000000000003E-2</v>
      </c>
      <c r="N94" s="192">
        <f t="shared" ref="N94" si="94">ROUND(+M94/$M$128*100,2)</f>
        <v>1.01</v>
      </c>
      <c r="O94" s="193"/>
      <c r="P94" s="194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0"/>
      <c r="C95" s="190"/>
      <c r="D95" s="190"/>
      <c r="E95" s="190"/>
      <c r="F95" s="41" t="s">
        <v>76</v>
      </c>
      <c r="G95" s="42" t="str">
        <f t="shared" ref="G95" si="95">IF(E94&lt;0.125,"NA",IF(0.125&lt;=E94,(0.2*E94)))</f>
        <v>NA</v>
      </c>
      <c r="H95" s="43"/>
      <c r="I95" s="44"/>
      <c r="J95" s="45"/>
      <c r="K95" s="190"/>
      <c r="L95" s="190"/>
      <c r="M95" s="190"/>
      <c r="N95" s="190"/>
      <c r="O95" s="190"/>
      <c r="P95" s="195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0"/>
      <c r="C96" s="190"/>
      <c r="D96" s="190"/>
      <c r="E96" s="190"/>
      <c r="F96" s="41" t="s">
        <v>77</v>
      </c>
      <c r="G96" s="42">
        <f t="shared" ref="G96" si="96">+E94*0.4</f>
        <v>2.92E-2</v>
      </c>
      <c r="H96" s="43"/>
      <c r="I96" s="44"/>
      <c r="J96" s="45">
        <v>0.307</v>
      </c>
      <c r="K96" s="190"/>
      <c r="L96" s="190"/>
      <c r="M96" s="190"/>
      <c r="N96" s="190"/>
      <c r="O96" s="190"/>
      <c r="P96" s="195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0"/>
      <c r="C97" s="190"/>
      <c r="D97" s="190"/>
      <c r="E97" s="190"/>
      <c r="F97" s="41" t="s">
        <v>78</v>
      </c>
      <c r="G97" s="42" t="str">
        <f t="shared" ref="G97" si="97">IF(E94&lt;0.125,"NA",IF(0.125&lt;=E94,(0.8*E94)))</f>
        <v>NA</v>
      </c>
      <c r="H97" s="43"/>
      <c r="I97" s="44"/>
      <c r="J97" s="45"/>
      <c r="K97" s="190"/>
      <c r="L97" s="190"/>
      <c r="M97" s="190"/>
      <c r="N97" s="190"/>
      <c r="O97" s="190"/>
      <c r="P97" s="195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1"/>
      <c r="C98" s="191"/>
      <c r="D98" s="191"/>
      <c r="E98" s="191"/>
      <c r="F98" s="46" t="s">
        <v>79</v>
      </c>
      <c r="G98" s="47">
        <f t="shared" ref="G98" si="98">+E94</f>
        <v>7.2999999999999995E-2</v>
      </c>
      <c r="H98" s="48"/>
      <c r="I98" s="49"/>
      <c r="J98" s="50">
        <v>0.28000000000000003</v>
      </c>
      <c r="K98" s="191"/>
      <c r="L98" s="191"/>
      <c r="M98" s="191"/>
      <c r="N98" s="191"/>
      <c r="O98" s="191"/>
      <c r="P98" s="196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9">
        <v>17</v>
      </c>
      <c r="C99" s="212">
        <f t="shared" ref="C99" si="99">C94+$N$12</f>
        <v>18.45</v>
      </c>
      <c r="D99" s="189">
        <v>0.15</v>
      </c>
      <c r="E99" s="189">
        <v>7.9000000000000001E-2</v>
      </c>
      <c r="F99" s="36" t="s">
        <v>75</v>
      </c>
      <c r="G99" s="37">
        <v>0</v>
      </c>
      <c r="H99" s="38"/>
      <c r="I99" s="39"/>
      <c r="J99" s="40">
        <v>0.33200000000000002</v>
      </c>
      <c r="K99" s="189">
        <f t="shared" ref="K99" si="100">+IF(E99&lt;=0.12,(J101),(IF(E99&lt;0.16,((J100+2*J101+J102)/4),IF(E99&gt;=0.16,((J99+3*J100+2*J101+3*J102+J103)/10)))))</f>
        <v>0.59099999999999997</v>
      </c>
      <c r="L99" s="189">
        <f>ROUND(+(D94+D99)/2*(C99-C94),3)</f>
        <v>0.14699999999999999</v>
      </c>
      <c r="M99" s="189">
        <f t="shared" ref="M99" si="101">ROUND(+K99*L99,4)</f>
        <v>8.6900000000000005E-2</v>
      </c>
      <c r="N99" s="192">
        <f t="shared" ref="N99" si="102">ROUND(+M99/$M$128*100,2)</f>
        <v>1.99</v>
      </c>
      <c r="O99" s="193"/>
      <c r="P99" s="194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0"/>
      <c r="C100" s="190"/>
      <c r="D100" s="190"/>
      <c r="E100" s="190"/>
      <c r="F100" s="41" t="s">
        <v>76</v>
      </c>
      <c r="G100" s="42" t="str">
        <f t="shared" ref="G100" si="103">IF(E99&lt;0.125,"NA",IF(0.125&lt;=E99,(0.2*E99)))</f>
        <v>NA</v>
      </c>
      <c r="H100" s="43"/>
      <c r="I100" s="44"/>
      <c r="J100" s="45"/>
      <c r="K100" s="190"/>
      <c r="L100" s="190"/>
      <c r="M100" s="190"/>
      <c r="N100" s="190"/>
      <c r="O100" s="190"/>
      <c r="P100" s="195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0"/>
      <c r="C101" s="190"/>
      <c r="D101" s="190"/>
      <c r="E101" s="190"/>
      <c r="F101" s="41" t="s">
        <v>77</v>
      </c>
      <c r="G101" s="42">
        <f t="shared" ref="G101" si="104">+E99*0.4</f>
        <v>3.1600000000000003E-2</v>
      </c>
      <c r="H101" s="43"/>
      <c r="I101" s="44"/>
      <c r="J101" s="45">
        <v>0.59099999999999997</v>
      </c>
      <c r="K101" s="190"/>
      <c r="L101" s="190"/>
      <c r="M101" s="190"/>
      <c r="N101" s="190"/>
      <c r="O101" s="190"/>
      <c r="P101" s="195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0"/>
      <c r="C102" s="190"/>
      <c r="D102" s="190"/>
      <c r="E102" s="190"/>
      <c r="F102" s="41" t="s">
        <v>78</v>
      </c>
      <c r="G102" s="42" t="str">
        <f t="shared" ref="G102" si="105">IF(E99&lt;0.125,"NA",IF(0.125&lt;=E99,(0.8*E99)))</f>
        <v>NA</v>
      </c>
      <c r="H102" s="43"/>
      <c r="I102" s="44"/>
      <c r="J102" s="45"/>
      <c r="K102" s="190"/>
      <c r="L102" s="190"/>
      <c r="M102" s="190"/>
      <c r="N102" s="190"/>
      <c r="O102" s="190"/>
      <c r="P102" s="195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1"/>
      <c r="C103" s="191"/>
      <c r="D103" s="191"/>
      <c r="E103" s="191"/>
      <c r="F103" s="46" t="s">
        <v>79</v>
      </c>
      <c r="G103" s="47">
        <f t="shared" ref="G103" si="106">+E99</f>
        <v>7.9000000000000001E-2</v>
      </c>
      <c r="H103" s="48"/>
      <c r="I103" s="49"/>
      <c r="J103" s="50">
        <v>0.623</v>
      </c>
      <c r="K103" s="191"/>
      <c r="L103" s="191"/>
      <c r="M103" s="191"/>
      <c r="N103" s="191"/>
      <c r="O103" s="191"/>
      <c r="P103" s="196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09">
        <v>18</v>
      </c>
      <c r="C104" s="212">
        <f>+C99+1.57</f>
        <v>20.02</v>
      </c>
      <c r="D104" s="189">
        <v>8.9999999999999993E-3</v>
      </c>
      <c r="E104" s="189">
        <v>6.0000000000000001E-3</v>
      </c>
      <c r="F104" s="36" t="s">
        <v>75</v>
      </c>
      <c r="G104" s="37">
        <v>0</v>
      </c>
      <c r="H104" s="38"/>
      <c r="I104" s="39"/>
      <c r="J104" s="40">
        <v>0.127</v>
      </c>
      <c r="K104" s="189">
        <f t="shared" ref="K104" si="107">+IF(E104&lt;=0.12,(J106),(IF(E104&lt;0.16,((J105+2*J106+J107)/4),IF(E104&gt;=0.16,((J104+3*J105+2*J106+3*J107+J108)/10)))))</f>
        <v>0.379</v>
      </c>
      <c r="L104" s="189">
        <f>ROUND(+(D99+D104)/2*(C104-C99),3)</f>
        <v>0.125</v>
      </c>
      <c r="M104" s="189">
        <f t="shared" ref="M104" si="108">ROUND(+K104*L104,4)</f>
        <v>4.7399999999999998E-2</v>
      </c>
      <c r="N104" s="192">
        <f t="shared" ref="N104" si="109">ROUND(+M104/$M$128*100,2)</f>
        <v>1.0900000000000001</v>
      </c>
      <c r="O104" s="193"/>
      <c r="P104" s="194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0"/>
      <c r="C105" s="190"/>
      <c r="D105" s="190"/>
      <c r="E105" s="190"/>
      <c r="F105" s="41" t="s">
        <v>76</v>
      </c>
      <c r="G105" s="42" t="str">
        <f t="shared" ref="G105" si="110">IF(E104&lt;0.125,"NA",IF(0.125&lt;=E104,(0.2*E104)))</f>
        <v>NA</v>
      </c>
      <c r="H105" s="43"/>
      <c r="I105" s="44"/>
      <c r="J105" s="45"/>
      <c r="K105" s="190"/>
      <c r="L105" s="190"/>
      <c r="M105" s="190"/>
      <c r="N105" s="190"/>
      <c r="O105" s="190"/>
      <c r="P105" s="195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0"/>
      <c r="C106" s="190"/>
      <c r="D106" s="190"/>
      <c r="E106" s="190"/>
      <c r="F106" s="41" t="s">
        <v>77</v>
      </c>
      <c r="G106" s="42">
        <f t="shared" ref="G106" si="111">+E104*0.4</f>
        <v>2.4000000000000002E-3</v>
      </c>
      <c r="H106" s="43"/>
      <c r="I106" s="44"/>
      <c r="J106" s="45">
        <v>0.379</v>
      </c>
      <c r="K106" s="190"/>
      <c r="L106" s="190"/>
      <c r="M106" s="190"/>
      <c r="N106" s="190"/>
      <c r="O106" s="190"/>
      <c r="P106" s="195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0"/>
      <c r="C107" s="190"/>
      <c r="D107" s="190"/>
      <c r="E107" s="190"/>
      <c r="F107" s="41" t="s">
        <v>78</v>
      </c>
      <c r="G107" s="42" t="str">
        <f t="shared" ref="G107" si="112">IF(E104&lt;0.125,"NA",IF(0.125&lt;=E104,(0.8*E104)))</f>
        <v>NA</v>
      </c>
      <c r="H107" s="43"/>
      <c r="I107" s="44"/>
      <c r="J107" s="45"/>
      <c r="K107" s="190"/>
      <c r="L107" s="190"/>
      <c r="M107" s="190"/>
      <c r="N107" s="190"/>
      <c r="O107" s="190"/>
      <c r="P107" s="195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1"/>
      <c r="C108" s="191"/>
      <c r="D108" s="191"/>
      <c r="E108" s="191"/>
      <c r="F108" s="46" t="s">
        <v>79</v>
      </c>
      <c r="G108" s="47">
        <f t="shared" ref="G108" si="113">+E104</f>
        <v>6.0000000000000001E-3</v>
      </c>
      <c r="H108" s="48"/>
      <c r="I108" s="49"/>
      <c r="J108" s="50">
        <v>0.503</v>
      </c>
      <c r="K108" s="191"/>
      <c r="L108" s="191"/>
      <c r="M108" s="191"/>
      <c r="N108" s="191"/>
      <c r="O108" s="191"/>
      <c r="P108" s="196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" customFormat="1" ht="13.5" customHeight="1" x14ac:dyDescent="0.2">
      <c r="B109" s="197" t="s">
        <v>28</v>
      </c>
      <c r="C109" s="200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2"/>
    </row>
    <row r="110" spans="1:26" s="3" customFormat="1" ht="14.1" customHeight="1" x14ac:dyDescent="0.2">
      <c r="B110" s="198"/>
      <c r="C110" s="203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5"/>
    </row>
    <row r="111" spans="1:26" s="3" customFormat="1" ht="14.1" customHeight="1" x14ac:dyDescent="0.2">
      <c r="B111" s="198"/>
      <c r="C111" s="203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5"/>
    </row>
    <row r="112" spans="1:26" s="3" customFormat="1" ht="14.1" customHeight="1" x14ac:dyDescent="0.2">
      <c r="B112" s="198"/>
      <c r="C112" s="203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5"/>
    </row>
    <row r="113" spans="1:26" s="3" customFormat="1" ht="14.1" customHeight="1" x14ac:dyDescent="0.2">
      <c r="B113" s="198"/>
      <c r="C113" s="203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5"/>
    </row>
    <row r="114" spans="1:26" s="3" customFormat="1" ht="14.1" customHeight="1" thickBot="1" x14ac:dyDescent="0.25">
      <c r="B114" s="199"/>
      <c r="C114" s="206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8"/>
    </row>
    <row r="115" spans="1:26" s="3" customFormat="1" ht="28.5" customHeight="1" thickBot="1" x14ac:dyDescent="0.25">
      <c r="A115" s="51"/>
      <c r="B115" s="52" t="s">
        <v>80</v>
      </c>
      <c r="C115" s="176" t="s">
        <v>81</v>
      </c>
      <c r="D115" s="176"/>
      <c r="E115" s="176"/>
      <c r="F115" s="176"/>
      <c r="G115" s="176"/>
      <c r="H115" s="177"/>
      <c r="I115" s="178"/>
      <c r="J115" s="52" t="s">
        <v>82</v>
      </c>
      <c r="K115" s="176" t="s">
        <v>83</v>
      </c>
      <c r="L115" s="176"/>
      <c r="M115" s="176"/>
      <c r="N115" s="176"/>
      <c r="O115" s="176"/>
      <c r="P115" s="177"/>
    </row>
    <row r="116" spans="1:26" s="3" customFormat="1" ht="28.5" customHeight="1" thickBot="1" x14ac:dyDescent="0.25">
      <c r="B116" s="53" t="s">
        <v>84</v>
      </c>
      <c r="C116" s="180" t="s">
        <v>85</v>
      </c>
      <c r="D116" s="180"/>
      <c r="E116" s="180"/>
      <c r="F116" s="180"/>
      <c r="G116" s="180"/>
      <c r="H116" s="181"/>
      <c r="I116" s="179"/>
      <c r="J116" s="53" t="s">
        <v>86</v>
      </c>
      <c r="K116" s="180" t="s">
        <v>87</v>
      </c>
      <c r="L116" s="180"/>
      <c r="M116" s="180"/>
      <c r="N116" s="180"/>
      <c r="O116" s="180"/>
      <c r="P116" s="181"/>
    </row>
    <row r="117" spans="1:26" s="91" customFormat="1" ht="13.5" customHeight="1" x14ac:dyDescent="0.25">
      <c r="A117" s="54"/>
      <c r="B117" s="182">
        <v>4</v>
      </c>
      <c r="C117" s="185">
        <f>+C29</f>
        <v>4.45</v>
      </c>
      <c r="D117" s="187">
        <f>+D29</f>
        <v>0.61299999999999999</v>
      </c>
      <c r="E117" s="187">
        <f>+E34</f>
        <v>0.68600000000000005</v>
      </c>
      <c r="F117" s="55" t="s">
        <v>75</v>
      </c>
      <c r="G117" s="55">
        <v>0.01</v>
      </c>
      <c r="H117" s="56"/>
      <c r="I117" s="57"/>
      <c r="J117" s="58">
        <v>0.39500000000000002</v>
      </c>
      <c r="K117" s="188">
        <f>+AVERAGE(J117:J127)</f>
        <v>0.69318181818181823</v>
      </c>
      <c r="L117" s="167">
        <f>ROUND(+(D117+D122)/2*(C122-C117),3)</f>
        <v>0.65200000000000002</v>
      </c>
      <c r="M117" s="170">
        <f>ROUND(+K117*L117,4)</f>
        <v>0.45200000000000001</v>
      </c>
      <c r="N117" s="167">
        <f>ROUND(+M117/$M$128*100,2)</f>
        <v>10.35</v>
      </c>
      <c r="O117" s="167"/>
      <c r="P117" s="171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s="91" customFormat="1" ht="13.5" customHeight="1" x14ac:dyDescent="0.25">
      <c r="A118" s="54"/>
      <c r="B118" s="183"/>
      <c r="C118" s="168"/>
      <c r="D118" s="168"/>
      <c r="E118" s="168"/>
      <c r="F118" s="60" t="s">
        <v>88</v>
      </c>
      <c r="G118" s="61">
        <f>+E117*0.1</f>
        <v>6.8600000000000008E-2</v>
      </c>
      <c r="H118" s="62"/>
      <c r="I118" s="63"/>
      <c r="J118" s="64">
        <v>0.44500000000000001</v>
      </c>
      <c r="K118" s="168"/>
      <c r="L118" s="168"/>
      <c r="M118" s="168"/>
      <c r="N118" s="168"/>
      <c r="O118" s="168"/>
      <c r="P118" s="172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s="91" customFormat="1" ht="13.5" customHeight="1" x14ac:dyDescent="0.25">
      <c r="A119" s="54"/>
      <c r="B119" s="183"/>
      <c r="C119" s="168"/>
      <c r="D119" s="168"/>
      <c r="E119" s="168"/>
      <c r="F119" s="60" t="s">
        <v>89</v>
      </c>
      <c r="G119" s="61">
        <f>+E117*0.2</f>
        <v>0.13720000000000002</v>
      </c>
      <c r="H119" s="62"/>
      <c r="I119" s="63"/>
      <c r="J119" s="64">
        <v>0.65900000000000003</v>
      </c>
      <c r="K119" s="168"/>
      <c r="L119" s="168"/>
      <c r="M119" s="168"/>
      <c r="N119" s="168"/>
      <c r="O119" s="168"/>
      <c r="P119" s="172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s="91" customFormat="1" ht="13.5" customHeight="1" x14ac:dyDescent="0.25">
      <c r="A120" s="54"/>
      <c r="B120" s="183"/>
      <c r="C120" s="168"/>
      <c r="D120" s="168"/>
      <c r="E120" s="168"/>
      <c r="F120" s="60" t="s">
        <v>90</v>
      </c>
      <c r="G120" s="61">
        <f>+E117*0.3</f>
        <v>0.20580000000000001</v>
      </c>
      <c r="H120" s="62"/>
      <c r="I120" s="63"/>
      <c r="J120" s="64">
        <v>0.76100000000000001</v>
      </c>
      <c r="K120" s="168"/>
      <c r="L120" s="168"/>
      <c r="M120" s="168"/>
      <c r="N120" s="168"/>
      <c r="O120" s="168"/>
      <c r="P120" s="172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s="91" customFormat="1" ht="13.5" customHeight="1" x14ac:dyDescent="0.25">
      <c r="A121" s="54"/>
      <c r="B121" s="183"/>
      <c r="C121" s="186"/>
      <c r="D121" s="186"/>
      <c r="E121" s="168"/>
      <c r="F121" s="60" t="s">
        <v>91</v>
      </c>
      <c r="G121" s="61">
        <f>+E117*0.4</f>
        <v>0.27440000000000003</v>
      </c>
      <c r="H121" s="62"/>
      <c r="I121" s="63"/>
      <c r="J121" s="64">
        <v>0.65600000000000003</v>
      </c>
      <c r="K121" s="168"/>
      <c r="L121" s="168"/>
      <c r="M121" s="168"/>
      <c r="N121" s="168"/>
      <c r="O121" s="168"/>
      <c r="P121" s="172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s="91" customFormat="1" ht="13.5" customHeight="1" x14ac:dyDescent="0.25">
      <c r="A122" s="54"/>
      <c r="B122" s="183"/>
      <c r="C122" s="174">
        <f>+C34</f>
        <v>5.45</v>
      </c>
      <c r="D122" s="175">
        <f>+D34</f>
        <v>0.69</v>
      </c>
      <c r="E122" s="168"/>
      <c r="F122" s="60" t="s">
        <v>29</v>
      </c>
      <c r="G122" s="61">
        <f>+E117*0.5</f>
        <v>0.34300000000000003</v>
      </c>
      <c r="H122" s="62"/>
      <c r="I122" s="63"/>
      <c r="J122" s="64">
        <v>0.69899999999999995</v>
      </c>
      <c r="K122" s="168"/>
      <c r="L122" s="168"/>
      <c r="M122" s="168"/>
      <c r="N122" s="168"/>
      <c r="O122" s="168"/>
      <c r="P122" s="172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91" customFormat="1" ht="13.5" customHeight="1" x14ac:dyDescent="0.25">
      <c r="A123" s="54"/>
      <c r="B123" s="183"/>
      <c r="C123" s="168"/>
      <c r="D123" s="168"/>
      <c r="E123" s="168"/>
      <c r="F123" s="60" t="s">
        <v>92</v>
      </c>
      <c r="G123" s="61">
        <f>+E117*0.6</f>
        <v>0.41160000000000002</v>
      </c>
      <c r="H123" s="62"/>
      <c r="I123" s="63"/>
      <c r="J123" s="64">
        <v>0.66300000000000003</v>
      </c>
      <c r="K123" s="168"/>
      <c r="L123" s="168"/>
      <c r="M123" s="168"/>
      <c r="N123" s="168"/>
      <c r="O123" s="168"/>
      <c r="P123" s="172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s="91" customFormat="1" ht="13.5" customHeight="1" x14ac:dyDescent="0.25">
      <c r="A124" s="54"/>
      <c r="B124" s="183"/>
      <c r="C124" s="168"/>
      <c r="D124" s="168"/>
      <c r="E124" s="168"/>
      <c r="F124" s="60" t="s">
        <v>93</v>
      </c>
      <c r="G124" s="61">
        <f>+E117*0.7</f>
        <v>0.48020000000000002</v>
      </c>
      <c r="H124" s="62"/>
      <c r="I124" s="63"/>
      <c r="J124" s="64">
        <v>0.67700000000000005</v>
      </c>
      <c r="K124" s="168"/>
      <c r="L124" s="168"/>
      <c r="M124" s="168"/>
      <c r="N124" s="168"/>
      <c r="O124" s="168"/>
      <c r="P124" s="172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s="91" customFormat="1" ht="13.5" customHeight="1" x14ac:dyDescent="0.25">
      <c r="A125" s="54"/>
      <c r="B125" s="183"/>
      <c r="C125" s="168"/>
      <c r="D125" s="168"/>
      <c r="E125" s="168"/>
      <c r="F125" s="60" t="s">
        <v>94</v>
      </c>
      <c r="G125" s="61">
        <f>+E117*0.8</f>
        <v>0.54880000000000007</v>
      </c>
      <c r="H125" s="62"/>
      <c r="I125" s="63"/>
      <c r="J125" s="64">
        <v>0.82799999999999996</v>
      </c>
      <c r="K125" s="168"/>
      <c r="L125" s="168"/>
      <c r="M125" s="168"/>
      <c r="N125" s="168"/>
      <c r="O125" s="168"/>
      <c r="P125" s="172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s="91" customFormat="1" ht="13.5" customHeight="1" x14ac:dyDescent="0.25">
      <c r="A126" s="54"/>
      <c r="B126" s="183"/>
      <c r="C126" s="168"/>
      <c r="D126" s="168"/>
      <c r="E126" s="168"/>
      <c r="F126" s="60" t="s">
        <v>95</v>
      </c>
      <c r="G126" s="61">
        <f>+E117*0.9</f>
        <v>0.61740000000000006</v>
      </c>
      <c r="H126" s="62"/>
      <c r="I126" s="63"/>
      <c r="J126" s="64">
        <v>0.86199999999999999</v>
      </c>
      <c r="K126" s="168"/>
      <c r="L126" s="168"/>
      <c r="M126" s="168"/>
      <c r="N126" s="168"/>
      <c r="O126" s="168"/>
      <c r="P126" s="172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s="91" customFormat="1" ht="15.75" thickBot="1" x14ac:dyDescent="0.3">
      <c r="A127" s="54"/>
      <c r="B127" s="184"/>
      <c r="C127" s="169"/>
      <c r="D127" s="169"/>
      <c r="E127" s="169"/>
      <c r="F127" s="65" t="s">
        <v>30</v>
      </c>
      <c r="G127" s="65">
        <f>+E117</f>
        <v>0.68600000000000005</v>
      </c>
      <c r="H127" s="66"/>
      <c r="I127" s="67"/>
      <c r="J127" s="68">
        <v>0.98</v>
      </c>
      <c r="K127" s="169"/>
      <c r="L127" s="169"/>
      <c r="M127" s="169"/>
      <c r="N127" s="169"/>
      <c r="O127" s="169"/>
      <c r="P127" s="173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3" customFormat="1" ht="12.75" x14ac:dyDescent="0.2">
      <c r="A128" s="8"/>
      <c r="B128" s="155" t="s">
        <v>103</v>
      </c>
      <c r="C128" s="155"/>
      <c r="D128" s="155"/>
      <c r="E128" s="155"/>
      <c r="F128" s="155"/>
      <c r="G128" s="155"/>
      <c r="H128" s="155"/>
      <c r="I128" s="155"/>
      <c r="J128" s="155"/>
      <c r="K128" s="13">
        <f>ROUND(+M128/L128,3)</f>
        <v>0.70299999999999996</v>
      </c>
      <c r="L128" s="12">
        <f>SUM(L19:L127)</f>
        <v>6.2150000000000007</v>
      </c>
      <c r="M128" s="11">
        <f>SUM(M19:M127)</f>
        <v>4.3681999999999999</v>
      </c>
      <c r="N128" s="9">
        <f>ROUND(SUM(N19:N127),0)</f>
        <v>100</v>
      </c>
      <c r="O128" s="157" t="s">
        <v>31</v>
      </c>
      <c r="P128" s="159"/>
    </row>
    <row r="129" spans="1:16" s="3" customFormat="1" ht="15" customHeight="1" thickBot="1" x14ac:dyDescent="0.25">
      <c r="A129" s="8"/>
      <c r="B129" s="156"/>
      <c r="C129" s="156"/>
      <c r="D129" s="156"/>
      <c r="E129" s="156"/>
      <c r="F129" s="156"/>
      <c r="G129" s="156"/>
      <c r="H129" s="156"/>
      <c r="I129" s="156"/>
      <c r="J129" s="156"/>
      <c r="K129" s="10" t="s">
        <v>32</v>
      </c>
      <c r="L129" s="10" t="s">
        <v>48</v>
      </c>
      <c r="M129" s="10" t="s">
        <v>100</v>
      </c>
      <c r="N129" s="10" t="s">
        <v>33</v>
      </c>
      <c r="O129" s="158"/>
      <c r="P129" s="160"/>
    </row>
    <row r="130" spans="1:16" ht="15" customHeight="1" thickBot="1" x14ac:dyDescent="0.3">
      <c r="A130" s="93"/>
      <c r="B130" s="161" t="s">
        <v>96</v>
      </c>
      <c r="C130" s="162"/>
      <c r="D130" s="162"/>
      <c r="E130" s="162"/>
      <c r="F130" s="163"/>
      <c r="G130" s="161" t="s">
        <v>97</v>
      </c>
      <c r="H130" s="162"/>
      <c r="I130" s="162"/>
      <c r="J130" s="162"/>
      <c r="K130" s="163"/>
      <c r="L130" s="164" t="s">
        <v>49</v>
      </c>
      <c r="M130" s="165"/>
      <c r="N130" s="165"/>
      <c r="O130" s="165"/>
      <c r="P130" s="166"/>
    </row>
    <row r="131" spans="1:16" ht="15" customHeight="1" x14ac:dyDescent="0.25">
      <c r="A131" s="93"/>
      <c r="B131" s="125"/>
      <c r="C131" s="126"/>
      <c r="D131" s="126"/>
      <c r="E131" s="126"/>
      <c r="F131" s="127"/>
      <c r="G131" s="125"/>
      <c r="H131" s="126"/>
      <c r="I131" s="126"/>
      <c r="J131" s="126"/>
      <c r="K131" s="127"/>
      <c r="L131" s="134" t="s">
        <v>98</v>
      </c>
      <c r="M131" s="135"/>
      <c r="N131" s="135"/>
      <c r="O131" s="136">
        <f>+AVERAGE(E18:E108)</f>
        <v>0.31011111111111123</v>
      </c>
      <c r="P131" s="137"/>
    </row>
    <row r="132" spans="1:16" ht="15" customHeight="1" thickBot="1" x14ac:dyDescent="0.3">
      <c r="A132" s="93"/>
      <c r="B132" s="128"/>
      <c r="C132" s="129"/>
      <c r="D132" s="129"/>
      <c r="E132" s="129"/>
      <c r="F132" s="130"/>
      <c r="G132" s="128"/>
      <c r="H132" s="129"/>
      <c r="I132" s="129"/>
      <c r="J132" s="129"/>
      <c r="K132" s="130"/>
      <c r="L132" s="138" t="s">
        <v>99</v>
      </c>
      <c r="M132" s="139"/>
      <c r="N132" s="139"/>
      <c r="O132" s="140">
        <f>MAX(E18:E108)</f>
        <v>0.68600000000000005</v>
      </c>
      <c r="P132" s="141"/>
    </row>
    <row r="133" spans="1:16" ht="18.600000000000001" customHeight="1" x14ac:dyDescent="0.25">
      <c r="A133" s="94"/>
      <c r="B133" s="128"/>
      <c r="C133" s="129"/>
      <c r="D133" s="129"/>
      <c r="E133" s="129"/>
      <c r="F133" s="130"/>
      <c r="G133" s="128"/>
      <c r="H133" s="129"/>
      <c r="I133" s="129"/>
      <c r="J133" s="129"/>
      <c r="K133" s="130"/>
      <c r="L133" s="142"/>
      <c r="M133" s="143"/>
      <c r="N133" s="143"/>
      <c r="O133" s="143"/>
      <c r="P133" s="144"/>
    </row>
    <row r="134" spans="1:16" ht="42" customHeight="1" x14ac:dyDescent="0.25">
      <c r="A134" s="95"/>
      <c r="B134" s="128"/>
      <c r="C134" s="129"/>
      <c r="D134" s="129"/>
      <c r="E134" s="129"/>
      <c r="F134" s="130"/>
      <c r="G134" s="128"/>
      <c r="H134" s="129"/>
      <c r="I134" s="129"/>
      <c r="J134" s="129"/>
      <c r="K134" s="130"/>
      <c r="L134" s="145"/>
      <c r="M134" s="146"/>
      <c r="N134" s="146"/>
      <c r="O134" s="146"/>
      <c r="P134" s="147"/>
    </row>
    <row r="135" spans="1:16" ht="15" customHeight="1" thickBot="1" x14ac:dyDescent="0.3">
      <c r="A135" s="93"/>
      <c r="B135" s="128"/>
      <c r="C135" s="129"/>
      <c r="D135" s="129"/>
      <c r="E135" s="129"/>
      <c r="F135" s="130"/>
      <c r="G135" s="128"/>
      <c r="H135" s="129"/>
      <c r="I135" s="129"/>
      <c r="J135" s="129"/>
      <c r="K135" s="130"/>
      <c r="L135" s="148"/>
      <c r="M135" s="149"/>
      <c r="N135" s="149"/>
      <c r="O135" s="149"/>
      <c r="P135" s="150"/>
    </row>
    <row r="136" spans="1:16" ht="22.5" customHeight="1" thickBot="1" x14ac:dyDescent="0.3">
      <c r="A136" s="93"/>
      <c r="B136" s="128"/>
      <c r="C136" s="129"/>
      <c r="D136" s="129"/>
      <c r="E136" s="129"/>
      <c r="F136" s="130"/>
      <c r="G136" s="128"/>
      <c r="H136" s="129"/>
      <c r="I136" s="129"/>
      <c r="J136" s="129"/>
      <c r="K136" s="130"/>
      <c r="L136" s="151" t="s">
        <v>34</v>
      </c>
      <c r="M136" s="152"/>
      <c r="N136" s="152"/>
      <c r="O136" s="152"/>
      <c r="P136" s="90">
        <v>4.66</v>
      </c>
    </row>
    <row r="137" spans="1:16" ht="32.25" customHeight="1" thickBot="1" x14ac:dyDescent="0.3">
      <c r="A137" s="93"/>
      <c r="B137" s="131"/>
      <c r="C137" s="132"/>
      <c r="D137" s="132"/>
      <c r="E137" s="132"/>
      <c r="F137" s="133"/>
      <c r="G137" s="131"/>
      <c r="H137" s="132"/>
      <c r="I137" s="132"/>
      <c r="J137" s="132"/>
      <c r="K137" s="133"/>
      <c r="L137" s="153" t="s">
        <v>102</v>
      </c>
      <c r="M137" s="154"/>
      <c r="N137" s="154"/>
      <c r="O137" s="154"/>
      <c r="P137" s="90">
        <v>0.39100000000000001</v>
      </c>
    </row>
    <row r="138" spans="1:16" ht="23.45" customHeight="1" thickBot="1" x14ac:dyDescent="0.3">
      <c r="A138" s="5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</row>
    <row r="139" spans="1:16" ht="15.75" thickBot="1" x14ac:dyDescent="0.3">
      <c r="A139" s="114" t="s">
        <v>35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6"/>
    </row>
    <row r="140" spans="1:16" ht="159" customHeight="1" thickBot="1" x14ac:dyDescent="0.3">
      <c r="A140" s="4"/>
      <c r="B140" s="117"/>
      <c r="C140" s="118"/>
      <c r="D140" s="118"/>
      <c r="E140" s="118"/>
      <c r="F140" s="119"/>
      <c r="G140" s="117"/>
      <c r="H140" s="118"/>
      <c r="I140" s="118"/>
      <c r="J140" s="118"/>
      <c r="K140" s="119"/>
      <c r="L140" s="117"/>
      <c r="M140" s="118"/>
      <c r="N140" s="118"/>
      <c r="O140" s="118"/>
      <c r="P140" s="120"/>
    </row>
    <row r="141" spans="1:16" ht="21.75" customHeight="1" thickBot="1" x14ac:dyDescent="0.3">
      <c r="A141" s="4"/>
      <c r="B141" s="301" t="s">
        <v>111</v>
      </c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3"/>
    </row>
    <row r="142" spans="1:16" s="7" customFormat="1" ht="16.899999999999999" customHeight="1" thickBot="1" x14ac:dyDescent="0.3">
      <c r="A142" s="6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9"/>
    </row>
    <row r="143" spans="1:16" s="3" customFormat="1" ht="15.75" customHeight="1" thickBot="1" x14ac:dyDescent="0.25">
      <c r="A143" s="110" t="s">
        <v>36</v>
      </c>
      <c r="B143" s="111"/>
      <c r="C143" s="111"/>
      <c r="D143" s="111" t="s">
        <v>112</v>
      </c>
      <c r="E143" s="111"/>
      <c r="F143" s="111"/>
      <c r="G143" s="111"/>
      <c r="H143" s="111"/>
      <c r="I143" s="111"/>
      <c r="J143" s="111" t="s">
        <v>37</v>
      </c>
      <c r="K143" s="111"/>
      <c r="L143" s="111"/>
      <c r="M143" s="111"/>
      <c r="N143" s="111"/>
      <c r="O143" s="111"/>
      <c r="P143" s="112"/>
    </row>
  </sheetData>
  <mergeCells count="28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104:M108"/>
    <mergeCell ref="N104:N108"/>
    <mergeCell ref="O104:O108"/>
    <mergeCell ref="P104:P108"/>
    <mergeCell ref="B109:B114"/>
    <mergeCell ref="C109:P114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C115:H115"/>
    <mergeCell ref="I115:I116"/>
    <mergeCell ref="K115:P115"/>
    <mergeCell ref="C116:H116"/>
    <mergeCell ref="K116:P116"/>
    <mergeCell ref="B117:B127"/>
    <mergeCell ref="C117:C121"/>
    <mergeCell ref="D117:D121"/>
    <mergeCell ref="E117:E127"/>
    <mergeCell ref="K117:K127"/>
    <mergeCell ref="B128:J129"/>
    <mergeCell ref="O128:O129"/>
    <mergeCell ref="P128:P129"/>
    <mergeCell ref="B130:F130"/>
    <mergeCell ref="G130:K130"/>
    <mergeCell ref="L130:P130"/>
    <mergeCell ref="L117:L127"/>
    <mergeCell ref="M117:M127"/>
    <mergeCell ref="N117:N127"/>
    <mergeCell ref="O117:O127"/>
    <mergeCell ref="P117:P127"/>
    <mergeCell ref="C122:C127"/>
    <mergeCell ref="D122:D127"/>
    <mergeCell ref="B131:F137"/>
    <mergeCell ref="G131:K137"/>
    <mergeCell ref="L131:N131"/>
    <mergeCell ref="O131:P131"/>
    <mergeCell ref="L132:N132"/>
    <mergeCell ref="O132:P132"/>
    <mergeCell ref="L133:P135"/>
    <mergeCell ref="L136:O136"/>
    <mergeCell ref="L137:O137"/>
    <mergeCell ref="B142:P142"/>
    <mergeCell ref="A143:C143"/>
    <mergeCell ref="D143:I143"/>
    <mergeCell ref="J143:K143"/>
    <mergeCell ref="L143:P143"/>
    <mergeCell ref="B138:P138"/>
    <mergeCell ref="A139:P139"/>
    <mergeCell ref="B140:F140"/>
    <mergeCell ref="G140:K140"/>
    <mergeCell ref="L140:P140"/>
    <mergeCell ref="B141:P14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7"/>
      <c r="B2" s="318"/>
      <c r="C2" s="319"/>
      <c r="D2" s="320"/>
      <c r="E2" s="321" t="s">
        <v>119</v>
      </c>
      <c r="F2" s="322"/>
      <c r="G2" s="322"/>
      <c r="H2" s="322"/>
      <c r="I2" s="322"/>
      <c r="J2" s="322"/>
      <c r="K2" s="322"/>
      <c r="L2" s="322"/>
      <c r="M2" s="322"/>
      <c r="N2" s="322"/>
      <c r="O2" s="323"/>
      <c r="P2" s="324"/>
    </row>
    <row r="3" spans="1:26" s="2" customFormat="1" ht="25.5" customHeight="1" thickBot="1" x14ac:dyDescent="0.3">
      <c r="A3" s="317"/>
      <c r="B3" s="325"/>
      <c r="C3" s="326"/>
      <c r="D3" s="327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30"/>
      <c r="P3" s="331"/>
    </row>
    <row r="4" spans="1:26" s="91" customFormat="1" ht="11.25" customHeight="1" thickBot="1" x14ac:dyDescent="0.3">
      <c r="A4" s="15"/>
      <c r="B4" s="295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6">
        <v>43172</v>
      </c>
      <c r="D5" s="297"/>
      <c r="E5" s="70" t="s">
        <v>50</v>
      </c>
      <c r="F5" s="71">
        <v>4</v>
      </c>
      <c r="G5" s="72" t="s">
        <v>1</v>
      </c>
      <c r="H5" s="298" t="s">
        <v>120</v>
      </c>
      <c r="I5" s="299"/>
      <c r="J5" s="299"/>
      <c r="K5" s="299"/>
      <c r="L5" s="299"/>
      <c r="M5" s="299"/>
      <c r="N5" s="299"/>
      <c r="O5" s="299"/>
      <c r="P5" s="300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9" t="s">
        <v>2</v>
      </c>
      <c r="C6" s="280"/>
      <c r="D6" s="281" t="s">
        <v>115</v>
      </c>
      <c r="E6" s="282"/>
      <c r="F6" s="282"/>
      <c r="G6" s="282"/>
      <c r="H6" s="282"/>
      <c r="I6" s="283"/>
      <c r="J6" s="74" t="s">
        <v>3</v>
      </c>
      <c r="K6" s="284" t="s">
        <v>116</v>
      </c>
      <c r="L6" s="283"/>
      <c r="M6" s="284" t="s">
        <v>117</v>
      </c>
      <c r="N6" s="285"/>
      <c r="O6" s="75" t="s">
        <v>51</v>
      </c>
      <c r="P6" s="76">
        <v>1186</v>
      </c>
    </row>
    <row r="7" spans="1:26" s="18" customFormat="1" ht="21.75" customHeight="1" x14ac:dyDescent="0.25">
      <c r="B7" s="286" t="s">
        <v>52</v>
      </c>
      <c r="C7" s="287" t="s">
        <v>53</v>
      </c>
      <c r="D7" s="257"/>
      <c r="E7" s="78"/>
      <c r="F7" s="288" t="s">
        <v>54</v>
      </c>
      <c r="G7" s="289"/>
      <c r="H7" s="289"/>
      <c r="I7" s="289"/>
      <c r="J7" s="290" t="s">
        <v>55</v>
      </c>
      <c r="K7" s="291"/>
      <c r="L7" s="291"/>
      <c r="M7" s="292"/>
      <c r="N7" s="293" t="s">
        <v>101</v>
      </c>
      <c r="O7" s="294"/>
      <c r="P7" s="79" t="s">
        <v>56</v>
      </c>
    </row>
    <row r="8" spans="1:26" s="18" customFormat="1" ht="21.75" customHeight="1" thickBot="1" x14ac:dyDescent="0.3">
      <c r="B8" s="231"/>
      <c r="C8" s="248" t="s">
        <v>57</v>
      </c>
      <c r="D8" s="247"/>
      <c r="E8" s="80" t="s">
        <v>4</v>
      </c>
      <c r="F8" s="258" t="s">
        <v>5</v>
      </c>
      <c r="G8" s="259"/>
      <c r="H8" s="259"/>
      <c r="I8" s="259"/>
      <c r="J8" s="260"/>
      <c r="K8" s="261"/>
      <c r="L8" s="261"/>
      <c r="M8" s="262"/>
      <c r="N8" s="263"/>
      <c r="O8" s="264"/>
      <c r="P8" s="81"/>
    </row>
    <row r="9" spans="1:26" s="18" customFormat="1" ht="21.75" customHeight="1" x14ac:dyDescent="0.25">
      <c r="B9" s="265" t="s">
        <v>6</v>
      </c>
      <c r="C9" s="268" t="s">
        <v>58</v>
      </c>
      <c r="D9" s="269" t="s">
        <v>59</v>
      </c>
      <c r="E9" s="254"/>
      <c r="F9" s="82"/>
      <c r="G9" s="270" t="s">
        <v>7</v>
      </c>
      <c r="H9" s="271" t="s">
        <v>8</v>
      </c>
      <c r="I9" s="257"/>
      <c r="J9" s="83" t="s">
        <v>4</v>
      </c>
      <c r="K9" s="268" t="s">
        <v>60</v>
      </c>
      <c r="L9" s="272" t="s">
        <v>105</v>
      </c>
      <c r="M9" s="273"/>
      <c r="N9" s="274"/>
      <c r="O9" s="274"/>
      <c r="P9" s="275"/>
    </row>
    <row r="10" spans="1:26" s="18" customFormat="1" ht="21.75" customHeight="1" thickBot="1" x14ac:dyDescent="0.3">
      <c r="B10" s="266"/>
      <c r="C10" s="211"/>
      <c r="D10" s="252" t="s">
        <v>61</v>
      </c>
      <c r="E10" s="247"/>
      <c r="F10" s="84" t="s">
        <v>4</v>
      </c>
      <c r="G10" s="211"/>
      <c r="H10" s="252" t="s">
        <v>9</v>
      </c>
      <c r="I10" s="247"/>
      <c r="J10" s="85"/>
      <c r="K10" s="211"/>
      <c r="L10" s="276"/>
      <c r="M10" s="277"/>
      <c r="N10" s="277"/>
      <c r="O10" s="277"/>
      <c r="P10" s="278"/>
    </row>
    <row r="11" spans="1:26" s="18" customFormat="1" ht="21.75" customHeight="1" x14ac:dyDescent="0.25">
      <c r="A11" s="16"/>
      <c r="B11" s="266"/>
      <c r="C11" s="253" t="s">
        <v>10</v>
      </c>
      <c r="D11" s="254"/>
      <c r="E11" s="86">
        <v>0.58888888888888891</v>
      </c>
      <c r="F11" s="255" t="s">
        <v>11</v>
      </c>
      <c r="G11" s="254"/>
      <c r="H11" s="87">
        <v>1.47</v>
      </c>
      <c r="I11" s="256" t="s">
        <v>12</v>
      </c>
      <c r="J11" s="257"/>
      <c r="K11" s="87">
        <v>23</v>
      </c>
      <c r="L11" s="253" t="s">
        <v>13</v>
      </c>
      <c r="M11" s="254"/>
      <c r="N11" s="88">
        <v>18.3</v>
      </c>
      <c r="O11" s="244" t="s">
        <v>62</v>
      </c>
      <c r="P11" s="245"/>
    </row>
    <row r="12" spans="1:26" s="18" customFormat="1" ht="21.75" customHeight="1" thickBot="1" x14ac:dyDescent="0.3">
      <c r="A12" s="16"/>
      <c r="B12" s="267"/>
      <c r="C12" s="246" t="s">
        <v>14</v>
      </c>
      <c r="D12" s="247"/>
      <c r="E12" s="86">
        <v>0.64722222222222225</v>
      </c>
      <c r="F12" s="248" t="s">
        <v>15</v>
      </c>
      <c r="G12" s="247"/>
      <c r="H12" s="87">
        <v>1.39</v>
      </c>
      <c r="I12" s="249" t="s">
        <v>16</v>
      </c>
      <c r="J12" s="247"/>
      <c r="K12" s="86">
        <v>0.58680555555555558</v>
      </c>
      <c r="L12" s="246" t="s">
        <v>17</v>
      </c>
      <c r="M12" s="247"/>
      <c r="N12" s="89">
        <v>1</v>
      </c>
      <c r="O12" s="250">
        <v>2.2000000000000002</v>
      </c>
      <c r="P12" s="251"/>
    </row>
    <row r="13" spans="1:26" s="18" customFormat="1" ht="21.75" customHeight="1" x14ac:dyDescent="0.25">
      <c r="A13" s="16"/>
      <c r="B13" s="229" t="s">
        <v>18</v>
      </c>
      <c r="C13" s="232" t="s">
        <v>63</v>
      </c>
      <c r="D13" s="233"/>
      <c r="E13" s="233"/>
      <c r="F13" s="234" t="s">
        <v>64</v>
      </c>
      <c r="G13" s="233"/>
      <c r="H13" s="233"/>
      <c r="I13" s="233"/>
      <c r="J13" s="234" t="s">
        <v>65</v>
      </c>
      <c r="K13" s="233"/>
      <c r="L13" s="233"/>
      <c r="M13" s="233"/>
      <c r="N13" s="235" t="s">
        <v>66</v>
      </c>
      <c r="O13" s="233"/>
      <c r="P13" s="236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0"/>
      <c r="C14" s="237" t="s">
        <v>67</v>
      </c>
      <c r="D14" s="238"/>
      <c r="E14" s="238"/>
      <c r="F14" s="239" t="s">
        <v>68</v>
      </c>
      <c r="G14" s="238"/>
      <c r="H14" s="238"/>
      <c r="I14" s="238"/>
      <c r="J14" s="240" t="s">
        <v>69</v>
      </c>
      <c r="K14" s="238"/>
      <c r="L14" s="238"/>
      <c r="M14" s="238"/>
      <c r="N14" s="241"/>
      <c r="O14" s="226"/>
      <c r="P14" s="242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1"/>
      <c r="C15" s="243" t="s">
        <v>70</v>
      </c>
      <c r="D15" s="213"/>
      <c r="E15" s="213"/>
      <c r="F15" s="213" t="s">
        <v>71</v>
      </c>
      <c r="G15" s="214"/>
      <c r="H15" s="214"/>
      <c r="I15" s="214"/>
      <c r="J15" s="213" t="s">
        <v>72</v>
      </c>
      <c r="K15" s="214"/>
      <c r="L15" s="214"/>
      <c r="M15" s="214"/>
      <c r="N15" s="215"/>
      <c r="O15" s="216"/>
      <c r="P15" s="2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8" t="s">
        <v>19</v>
      </c>
      <c r="C16" s="220" t="s">
        <v>20</v>
      </c>
      <c r="D16" s="220" t="s">
        <v>40</v>
      </c>
      <c r="E16" s="222" t="s">
        <v>21</v>
      </c>
      <c r="F16" s="223" t="s">
        <v>41</v>
      </c>
      <c r="G16" s="224"/>
      <c r="H16" s="220" t="s">
        <v>73</v>
      </c>
      <c r="I16" s="227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9"/>
      <c r="C17" s="221"/>
      <c r="D17" s="221"/>
      <c r="E17" s="221"/>
      <c r="F17" s="225"/>
      <c r="G17" s="226"/>
      <c r="H17" s="221"/>
      <c r="I17" s="228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2.2000000000000002</v>
      </c>
      <c r="D18" s="29">
        <v>0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 t="s">
        <v>104</v>
      </c>
      <c r="B19" s="209">
        <v>1</v>
      </c>
      <c r="C19" s="212">
        <f>+C18+N12</f>
        <v>3.2</v>
      </c>
      <c r="D19" s="189">
        <v>5.8999999999999997E-2</v>
      </c>
      <c r="E19" s="189">
        <v>2.4E-2</v>
      </c>
      <c r="F19" s="36" t="s">
        <v>75</v>
      </c>
      <c r="G19" s="37">
        <v>0</v>
      </c>
      <c r="H19" s="38"/>
      <c r="I19" s="39"/>
      <c r="J19" s="40"/>
      <c r="K19" s="189">
        <f>+IF(E19&lt;=0.12,(J21),(IF(E19&lt;0.16,((J20+2*J21+J22)/4),IF(E19&gt;=0.16,((J19+3*J20+2*J21+3*J22+J23)/10)))))</f>
        <v>5.0000000000000001E-3</v>
      </c>
      <c r="L19" s="189">
        <f>ROUND(+(D18+D19)/2*(C19-C18),3)</f>
        <v>0.03</v>
      </c>
      <c r="M19" s="189">
        <f>ROUND(+K19*L19,4)</f>
        <v>2.0000000000000001E-4</v>
      </c>
      <c r="N19" s="192">
        <f>ROUND(+M19/$M$128*100,2)</f>
        <v>0.01</v>
      </c>
      <c r="O19" s="193"/>
      <c r="P19" s="194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0"/>
      <c r="C20" s="190"/>
      <c r="D20" s="190"/>
      <c r="E20" s="190"/>
      <c r="F20" s="41" t="s">
        <v>76</v>
      </c>
      <c r="G20" s="42" t="str">
        <f t="shared" ref="G20" si="0">IF(E19&lt;0.125,"NA",IF(0.125&lt;=E19,(0.2*E19)))</f>
        <v>NA</v>
      </c>
      <c r="H20" s="43"/>
      <c r="I20" s="44"/>
      <c r="J20" s="45"/>
      <c r="K20" s="190"/>
      <c r="L20" s="190"/>
      <c r="M20" s="190"/>
      <c r="N20" s="190"/>
      <c r="O20" s="190"/>
      <c r="P20" s="195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0"/>
      <c r="C21" s="190"/>
      <c r="D21" s="190"/>
      <c r="E21" s="190"/>
      <c r="F21" s="41" t="s">
        <v>77</v>
      </c>
      <c r="G21" s="42">
        <f t="shared" ref="G21" si="1">+E19*0.4</f>
        <v>9.6000000000000009E-3</v>
      </c>
      <c r="H21" s="43"/>
      <c r="I21" s="44"/>
      <c r="J21" s="45">
        <v>5.0000000000000001E-3</v>
      </c>
      <c r="K21" s="190"/>
      <c r="L21" s="190"/>
      <c r="M21" s="190"/>
      <c r="N21" s="190"/>
      <c r="O21" s="190"/>
      <c r="P21" s="195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0"/>
      <c r="C22" s="190"/>
      <c r="D22" s="190"/>
      <c r="E22" s="190"/>
      <c r="F22" s="41" t="s">
        <v>78</v>
      </c>
      <c r="G22" s="42" t="str">
        <f t="shared" ref="G22" si="2">IF(E19&lt;0.125,"NA",IF(0.125&lt;=E19,(0.8*E19)))</f>
        <v>NA</v>
      </c>
      <c r="H22" s="43"/>
      <c r="I22" s="44"/>
      <c r="J22" s="45"/>
      <c r="K22" s="190"/>
      <c r="L22" s="190"/>
      <c r="M22" s="190"/>
      <c r="N22" s="190"/>
      <c r="O22" s="190"/>
      <c r="P22" s="195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1"/>
      <c r="C23" s="191"/>
      <c r="D23" s="191"/>
      <c r="E23" s="191"/>
      <c r="F23" s="46" t="s">
        <v>79</v>
      </c>
      <c r="G23" s="47">
        <f t="shared" ref="G23" si="3">+E19</f>
        <v>2.4E-2</v>
      </c>
      <c r="H23" s="48"/>
      <c r="I23" s="49"/>
      <c r="J23" s="50"/>
      <c r="K23" s="191"/>
      <c r="L23" s="191"/>
      <c r="M23" s="191"/>
      <c r="N23" s="191"/>
      <c r="O23" s="191"/>
      <c r="P23" s="196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9">
        <f>+B19+1</f>
        <v>2</v>
      </c>
      <c r="C24" s="212">
        <f>+C19+$N$12</f>
        <v>4.2</v>
      </c>
      <c r="D24" s="189">
        <v>2.7E-2</v>
      </c>
      <c r="E24" s="189">
        <v>6.7000000000000004E-2</v>
      </c>
      <c r="F24" s="36" t="s">
        <v>75</v>
      </c>
      <c r="G24" s="37">
        <v>0</v>
      </c>
      <c r="H24" s="38"/>
      <c r="I24" s="39"/>
      <c r="J24" s="40">
        <v>0.158</v>
      </c>
      <c r="K24" s="189">
        <f t="shared" ref="K24" si="4">+IF(E24&lt;=0.12,(J26),(IF(E24&lt;0.16,((J25+2*J26+J27)/4),IF(E24&gt;=0.16,((J24+3*J25+2*J26+3*J27+J28)/10)))))</f>
        <v>0.17</v>
      </c>
      <c r="L24" s="189">
        <f t="shared" ref="L24" si="5">ROUND(+(D19+D24)/2*(C24-C19),3)</f>
        <v>4.2999999999999997E-2</v>
      </c>
      <c r="M24" s="189">
        <f t="shared" ref="M24" si="6">ROUND(+K24*L24,4)</f>
        <v>7.3000000000000001E-3</v>
      </c>
      <c r="N24" s="192">
        <f t="shared" ref="N24" si="7">ROUND(+M24/$M$128*100,2)</f>
        <v>0.35</v>
      </c>
      <c r="O24" s="193"/>
      <c r="P24" s="194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0"/>
      <c r="C25" s="190"/>
      <c r="D25" s="190"/>
      <c r="E25" s="190"/>
      <c r="F25" s="41" t="s">
        <v>76</v>
      </c>
      <c r="G25" s="42" t="str">
        <f t="shared" ref="G25" si="8">IF(E24&lt;0.125,"NA",IF(0.125&lt;=E24,(0.2*E24)))</f>
        <v>NA</v>
      </c>
      <c r="H25" s="43"/>
      <c r="I25" s="44"/>
      <c r="J25" s="45"/>
      <c r="K25" s="190"/>
      <c r="L25" s="190"/>
      <c r="M25" s="190"/>
      <c r="N25" s="190"/>
      <c r="O25" s="190"/>
      <c r="P25" s="195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0"/>
      <c r="C26" s="190"/>
      <c r="D26" s="190"/>
      <c r="E26" s="190"/>
      <c r="F26" s="41" t="s">
        <v>77</v>
      </c>
      <c r="G26" s="42">
        <f t="shared" ref="G26" si="9">+E24*0.4</f>
        <v>2.6800000000000004E-2</v>
      </c>
      <c r="H26" s="43"/>
      <c r="I26" s="44"/>
      <c r="J26" s="45">
        <v>0.17</v>
      </c>
      <c r="K26" s="190"/>
      <c r="L26" s="190"/>
      <c r="M26" s="190"/>
      <c r="N26" s="190"/>
      <c r="O26" s="190"/>
      <c r="P26" s="195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0"/>
      <c r="C27" s="190"/>
      <c r="D27" s="190"/>
      <c r="E27" s="190"/>
      <c r="F27" s="41" t="s">
        <v>78</v>
      </c>
      <c r="G27" s="42" t="str">
        <f t="shared" ref="G27" si="10">IF(E24&lt;0.125,"NA",IF(0.125&lt;=E24,(0.8*E24)))</f>
        <v>NA</v>
      </c>
      <c r="H27" s="43"/>
      <c r="I27" s="44"/>
      <c r="J27" s="45"/>
      <c r="K27" s="190"/>
      <c r="L27" s="190"/>
      <c r="M27" s="190"/>
      <c r="N27" s="190"/>
      <c r="O27" s="190"/>
      <c r="P27" s="195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1"/>
      <c r="C28" s="191"/>
      <c r="D28" s="191"/>
      <c r="E28" s="191"/>
      <c r="F28" s="46" t="s">
        <v>79</v>
      </c>
      <c r="G28" s="47">
        <f t="shared" ref="G28" si="11">+E24</f>
        <v>6.7000000000000004E-2</v>
      </c>
      <c r="H28" s="48"/>
      <c r="I28" s="49"/>
      <c r="J28" s="50">
        <v>0.23</v>
      </c>
      <c r="K28" s="191"/>
      <c r="L28" s="191"/>
      <c r="M28" s="191"/>
      <c r="N28" s="191"/>
      <c r="O28" s="191"/>
      <c r="P28" s="196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9">
        <f t="shared" ref="B29" si="12">+B24+1</f>
        <v>3</v>
      </c>
      <c r="C29" s="212">
        <f t="shared" ref="C29" si="13">+C24+$N$12</f>
        <v>5.2</v>
      </c>
      <c r="D29" s="189">
        <v>0</v>
      </c>
      <c r="E29" s="189">
        <v>3.7999999999999999E-2</v>
      </c>
      <c r="F29" s="36" t="s">
        <v>75</v>
      </c>
      <c r="G29" s="37">
        <v>0</v>
      </c>
      <c r="H29" s="38"/>
      <c r="I29" s="39"/>
      <c r="J29" s="40"/>
      <c r="K29" s="189">
        <f t="shared" ref="K29" si="14">+IF(E29&lt;=0.12,(J31),(IF(E29&lt;0.16,((J30+2*J31+J32)/4),IF(E29&gt;=0.16,((J29+3*J30+2*J31+3*J32+J33)/10)))))</f>
        <v>0.10100000000000001</v>
      </c>
      <c r="L29" s="189">
        <f t="shared" ref="L29" si="15">ROUND(+(D24+D29)/2*(C29-C24),3)</f>
        <v>1.4E-2</v>
      </c>
      <c r="M29" s="189">
        <f t="shared" ref="M29" si="16">ROUND(+K29*L29,4)</f>
        <v>1.4E-3</v>
      </c>
      <c r="N29" s="192">
        <f t="shared" ref="N29" si="17">ROUND(+M29/$M$128*100,2)</f>
        <v>7.0000000000000007E-2</v>
      </c>
      <c r="O29" s="193"/>
      <c r="P29" s="19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0"/>
      <c r="C30" s="190"/>
      <c r="D30" s="190"/>
      <c r="E30" s="190"/>
      <c r="F30" s="41" t="s">
        <v>76</v>
      </c>
      <c r="G30" s="42" t="str">
        <f t="shared" ref="G30" si="18">IF(E29&lt;0.125,"NA",IF(0.125&lt;=E29,(0.2*E29)))</f>
        <v>NA</v>
      </c>
      <c r="H30" s="43"/>
      <c r="I30" s="44"/>
      <c r="J30" s="45"/>
      <c r="K30" s="190"/>
      <c r="L30" s="190"/>
      <c r="M30" s="190"/>
      <c r="N30" s="190"/>
      <c r="O30" s="190"/>
      <c r="P30" s="195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0"/>
      <c r="C31" s="190"/>
      <c r="D31" s="190"/>
      <c r="E31" s="190"/>
      <c r="F31" s="41" t="s">
        <v>77</v>
      </c>
      <c r="G31" s="42">
        <f t="shared" ref="G31" si="19">+E29*0.4</f>
        <v>1.52E-2</v>
      </c>
      <c r="H31" s="43"/>
      <c r="I31" s="44"/>
      <c r="J31" s="45">
        <v>0.10100000000000001</v>
      </c>
      <c r="K31" s="190"/>
      <c r="L31" s="190"/>
      <c r="M31" s="190"/>
      <c r="N31" s="190"/>
      <c r="O31" s="190"/>
      <c r="P31" s="195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0"/>
      <c r="C32" s="190"/>
      <c r="D32" s="190"/>
      <c r="E32" s="190"/>
      <c r="F32" s="41" t="s">
        <v>78</v>
      </c>
      <c r="G32" s="42" t="str">
        <f t="shared" ref="G32" si="20">IF(E29&lt;0.125,"NA",IF(0.125&lt;=E29,(0.8*E29)))</f>
        <v>NA</v>
      </c>
      <c r="H32" s="43"/>
      <c r="I32" s="44"/>
      <c r="J32" s="45"/>
      <c r="K32" s="190"/>
      <c r="L32" s="190"/>
      <c r="M32" s="190"/>
      <c r="N32" s="190"/>
      <c r="O32" s="190"/>
      <c r="P32" s="195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1"/>
      <c r="C33" s="191"/>
      <c r="D33" s="191"/>
      <c r="E33" s="191"/>
      <c r="F33" s="46" t="s">
        <v>79</v>
      </c>
      <c r="G33" s="47">
        <f t="shared" ref="G33" si="21">+E29</f>
        <v>3.7999999999999999E-2</v>
      </c>
      <c r="H33" s="48"/>
      <c r="I33" s="49"/>
      <c r="J33" s="50">
        <v>0.129</v>
      </c>
      <c r="K33" s="191"/>
      <c r="L33" s="191"/>
      <c r="M33" s="191"/>
      <c r="N33" s="191"/>
      <c r="O33" s="191"/>
      <c r="P33" s="196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9">
        <f t="shared" ref="B34" si="22">+B29+1</f>
        <v>4</v>
      </c>
      <c r="C34" s="212">
        <f t="shared" ref="C34" si="23">+C29+$N$12</f>
        <v>6.2</v>
      </c>
      <c r="D34" s="189">
        <v>2.1000000000000001E-2</v>
      </c>
      <c r="E34" s="189">
        <v>0</v>
      </c>
      <c r="F34" s="36" t="s">
        <v>75</v>
      </c>
      <c r="G34" s="37">
        <v>0</v>
      </c>
      <c r="H34" s="38"/>
      <c r="I34" s="39"/>
      <c r="J34" s="40"/>
      <c r="K34" s="189"/>
      <c r="L34" s="189"/>
      <c r="M34" s="189"/>
      <c r="N34" s="192"/>
      <c r="O34" s="193"/>
      <c r="P34" s="194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0"/>
      <c r="C35" s="190"/>
      <c r="D35" s="190"/>
      <c r="E35" s="190"/>
      <c r="F35" s="41" t="s">
        <v>76</v>
      </c>
      <c r="G35" s="42" t="str">
        <f t="shared" ref="G35" si="24">IF(E34&lt;0.125,"NA",IF(0.125&lt;=E34,(0.2*E34)))</f>
        <v>NA</v>
      </c>
      <c r="H35" s="43"/>
      <c r="I35" s="44"/>
      <c r="J35" s="45"/>
      <c r="K35" s="190"/>
      <c r="L35" s="190"/>
      <c r="M35" s="190"/>
      <c r="N35" s="190"/>
      <c r="O35" s="190"/>
      <c r="P35" s="195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0"/>
      <c r="C36" s="190"/>
      <c r="D36" s="190"/>
      <c r="E36" s="190"/>
      <c r="F36" s="41" t="s">
        <v>77</v>
      </c>
      <c r="G36" s="42">
        <f t="shared" ref="G36" si="25">+E34*0.4</f>
        <v>0</v>
      </c>
      <c r="H36" s="43"/>
      <c r="I36" s="44"/>
      <c r="J36" s="45"/>
      <c r="K36" s="190"/>
      <c r="L36" s="190"/>
      <c r="M36" s="190"/>
      <c r="N36" s="190"/>
      <c r="O36" s="190"/>
      <c r="P36" s="195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0"/>
      <c r="C37" s="190"/>
      <c r="D37" s="190"/>
      <c r="E37" s="190"/>
      <c r="F37" s="41" t="s">
        <v>78</v>
      </c>
      <c r="G37" s="42" t="str">
        <f t="shared" ref="G37" si="26">IF(E34&lt;0.125,"NA",IF(0.125&lt;=E34,(0.8*E34)))</f>
        <v>NA</v>
      </c>
      <c r="H37" s="43"/>
      <c r="I37" s="44"/>
      <c r="J37" s="45"/>
      <c r="K37" s="190"/>
      <c r="L37" s="190"/>
      <c r="M37" s="190"/>
      <c r="N37" s="190"/>
      <c r="O37" s="190"/>
      <c r="P37" s="195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1"/>
      <c r="C38" s="191"/>
      <c r="D38" s="191"/>
      <c r="E38" s="191"/>
      <c r="F38" s="46" t="s">
        <v>79</v>
      </c>
      <c r="G38" s="47">
        <f t="shared" ref="G38" si="27">+E34</f>
        <v>0</v>
      </c>
      <c r="H38" s="48"/>
      <c r="I38" s="49"/>
      <c r="J38" s="50"/>
      <c r="K38" s="191"/>
      <c r="L38" s="191"/>
      <c r="M38" s="191"/>
      <c r="N38" s="191"/>
      <c r="O38" s="191"/>
      <c r="P38" s="196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9">
        <f t="shared" ref="B39" si="28">+B34+1</f>
        <v>5</v>
      </c>
      <c r="C39" s="212">
        <f t="shared" ref="C39" si="29">+C34+$N$12</f>
        <v>7.2</v>
      </c>
      <c r="D39" s="189">
        <v>9.1999999999999998E-2</v>
      </c>
      <c r="E39" s="189">
        <v>0.1</v>
      </c>
      <c r="F39" s="36" t="s">
        <v>75</v>
      </c>
      <c r="G39" s="37">
        <v>0</v>
      </c>
      <c r="H39" s="38"/>
      <c r="I39" s="39"/>
      <c r="J39" s="40">
        <v>0.188</v>
      </c>
      <c r="K39" s="189">
        <f t="shared" ref="K39" si="30">+IF(E39&lt;=0.12,(J41),(IF(E39&lt;0.16,((J40+2*J41+J42)/4),IF(E39&gt;=0.16,((J39+3*J40+2*J41+3*J42+J43)/10)))))</f>
        <v>0.28599999999999998</v>
      </c>
      <c r="L39" s="189">
        <f t="shared" ref="L39" si="31">ROUND(+(D34+D39)/2*(C39-C34),3)</f>
        <v>5.7000000000000002E-2</v>
      </c>
      <c r="M39" s="189">
        <f t="shared" ref="M39" si="32">ROUND(+K39*L39,4)</f>
        <v>1.6299999999999999E-2</v>
      </c>
      <c r="N39" s="192">
        <f t="shared" ref="N39" si="33">ROUND(+M39/$M$128*100,2)</f>
        <v>0.79</v>
      </c>
      <c r="O39" s="193"/>
      <c r="P39" s="194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0"/>
      <c r="C40" s="190"/>
      <c r="D40" s="190"/>
      <c r="E40" s="190"/>
      <c r="F40" s="41" t="s">
        <v>76</v>
      </c>
      <c r="G40" s="42" t="str">
        <f t="shared" ref="G40" si="34">IF(E39&lt;0.125,"NA",IF(0.125&lt;=E39,(0.2*E39)))</f>
        <v>NA</v>
      </c>
      <c r="H40" s="43"/>
      <c r="I40" s="44"/>
      <c r="J40" s="45"/>
      <c r="K40" s="190"/>
      <c r="L40" s="190"/>
      <c r="M40" s="190"/>
      <c r="N40" s="190"/>
      <c r="O40" s="190"/>
      <c r="P40" s="195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0"/>
      <c r="C41" s="190"/>
      <c r="D41" s="190"/>
      <c r="E41" s="190"/>
      <c r="F41" s="41" t="s">
        <v>77</v>
      </c>
      <c r="G41" s="42">
        <f t="shared" ref="G41" si="35">+E39*0.4</f>
        <v>4.0000000000000008E-2</v>
      </c>
      <c r="H41" s="43"/>
      <c r="I41" s="44"/>
      <c r="J41" s="45">
        <v>0.28599999999999998</v>
      </c>
      <c r="K41" s="190"/>
      <c r="L41" s="190"/>
      <c r="M41" s="190"/>
      <c r="N41" s="190"/>
      <c r="O41" s="190"/>
      <c r="P41" s="195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0"/>
      <c r="C42" s="190"/>
      <c r="D42" s="190"/>
      <c r="E42" s="190"/>
      <c r="F42" s="41" t="s">
        <v>78</v>
      </c>
      <c r="G42" s="42" t="str">
        <f t="shared" ref="G42" si="36">IF(E39&lt;0.125,"NA",IF(0.125&lt;=E39,(0.8*E39)))</f>
        <v>NA</v>
      </c>
      <c r="H42" s="43"/>
      <c r="I42" s="44"/>
      <c r="J42" s="45"/>
      <c r="K42" s="190"/>
      <c r="L42" s="190"/>
      <c r="M42" s="190"/>
      <c r="N42" s="190"/>
      <c r="O42" s="190"/>
      <c r="P42" s="195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1"/>
      <c r="C43" s="191"/>
      <c r="D43" s="191"/>
      <c r="E43" s="191"/>
      <c r="F43" s="46" t="s">
        <v>79</v>
      </c>
      <c r="G43" s="47">
        <f t="shared" ref="G43" si="37">+E39</f>
        <v>0.1</v>
      </c>
      <c r="H43" s="48"/>
      <c r="I43" s="49"/>
      <c r="J43" s="50">
        <v>0.14899999999999999</v>
      </c>
      <c r="K43" s="191"/>
      <c r="L43" s="191"/>
      <c r="M43" s="191"/>
      <c r="N43" s="191"/>
      <c r="O43" s="191"/>
      <c r="P43" s="196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9">
        <f t="shared" ref="B44" si="38">+B39+1</f>
        <v>6</v>
      </c>
      <c r="C44" s="212">
        <f t="shared" ref="C44" si="39">+C39+$N$12</f>
        <v>8.1999999999999993</v>
      </c>
      <c r="D44" s="189">
        <v>0.122</v>
      </c>
      <c r="E44" s="189">
        <v>0.125</v>
      </c>
      <c r="F44" s="36" t="s">
        <v>75</v>
      </c>
      <c r="G44" s="37">
        <v>0</v>
      </c>
      <c r="H44" s="38"/>
      <c r="I44" s="39"/>
      <c r="J44" s="40">
        <v>0.161</v>
      </c>
      <c r="K44" s="189">
        <f t="shared" ref="K44" si="40">+IF(E44&lt;=0.12,(J46),(IF(E44&lt;0.16,((J45+2*J46+J47)/4),IF(E44&gt;=0.16,((J44+3*J45+2*J46+3*J47+J48)/10)))))</f>
        <v>0.26124999999999998</v>
      </c>
      <c r="L44" s="189">
        <f t="shared" ref="L44" si="41">ROUND(+(D39+D44)/2*(C44-C39),3)</f>
        <v>0.107</v>
      </c>
      <c r="M44" s="189">
        <f t="shared" ref="M44" si="42">ROUND(+K44*L44,4)</f>
        <v>2.8000000000000001E-2</v>
      </c>
      <c r="N44" s="192">
        <f t="shared" ref="N44" si="43">ROUND(+M44/$M$128*100,2)</f>
        <v>1.35</v>
      </c>
      <c r="O44" s="193"/>
      <c r="P44" s="194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0"/>
      <c r="C45" s="190"/>
      <c r="D45" s="190"/>
      <c r="E45" s="190"/>
      <c r="F45" s="41" t="s">
        <v>76</v>
      </c>
      <c r="G45" s="42">
        <f t="shared" ref="G45" si="44">IF(E44&lt;0.125,"NA",IF(0.125&lt;=E44,(0.2*E44)))</f>
        <v>2.5000000000000001E-2</v>
      </c>
      <c r="H45" s="43"/>
      <c r="I45" s="44"/>
      <c r="J45" s="45">
        <v>0.19500000000000001</v>
      </c>
      <c r="K45" s="190"/>
      <c r="L45" s="190"/>
      <c r="M45" s="190"/>
      <c r="N45" s="190"/>
      <c r="O45" s="190"/>
      <c r="P45" s="195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0"/>
      <c r="C46" s="190"/>
      <c r="D46" s="190"/>
      <c r="E46" s="190"/>
      <c r="F46" s="41" t="s">
        <v>77</v>
      </c>
      <c r="G46" s="42">
        <f t="shared" ref="G46" si="45">+E44*0.4</f>
        <v>0.05</v>
      </c>
      <c r="H46" s="43"/>
      <c r="I46" s="44"/>
      <c r="J46" s="45">
        <v>0.29599999999999999</v>
      </c>
      <c r="K46" s="190"/>
      <c r="L46" s="190"/>
      <c r="M46" s="190"/>
      <c r="N46" s="190"/>
      <c r="O46" s="190"/>
      <c r="P46" s="195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0"/>
      <c r="C47" s="190"/>
      <c r="D47" s="190"/>
      <c r="E47" s="190"/>
      <c r="F47" s="41" t="s">
        <v>78</v>
      </c>
      <c r="G47" s="42">
        <f t="shared" ref="G47" si="46">IF(E44&lt;0.125,"NA",IF(0.125&lt;=E44,(0.8*E44)))</f>
        <v>0.1</v>
      </c>
      <c r="H47" s="43"/>
      <c r="I47" s="44"/>
      <c r="J47" s="45">
        <v>0.25800000000000001</v>
      </c>
      <c r="K47" s="190"/>
      <c r="L47" s="190"/>
      <c r="M47" s="190"/>
      <c r="N47" s="190"/>
      <c r="O47" s="190"/>
      <c r="P47" s="195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1"/>
      <c r="C48" s="191"/>
      <c r="D48" s="191"/>
      <c r="E48" s="191"/>
      <c r="F48" s="46" t="s">
        <v>79</v>
      </c>
      <c r="G48" s="47">
        <f t="shared" ref="G48" si="47">+E44</f>
        <v>0.125</v>
      </c>
      <c r="H48" s="48"/>
      <c r="I48" s="49"/>
      <c r="J48" s="50">
        <v>0.17799999999999999</v>
      </c>
      <c r="K48" s="191"/>
      <c r="L48" s="191"/>
      <c r="M48" s="191"/>
      <c r="N48" s="191"/>
      <c r="O48" s="191"/>
      <c r="P48" s="196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9">
        <f t="shared" ref="B49" si="48">+B44+1</f>
        <v>7</v>
      </c>
      <c r="C49" s="212">
        <f t="shared" ref="C49" si="49">+C44+$N$12</f>
        <v>9.1999999999999993</v>
      </c>
      <c r="D49" s="189">
        <v>0.13</v>
      </c>
      <c r="E49" s="189">
        <v>0.16400000000000001</v>
      </c>
      <c r="F49" s="36" t="s">
        <v>75</v>
      </c>
      <c r="G49" s="37">
        <v>0</v>
      </c>
      <c r="H49" s="38"/>
      <c r="I49" s="39"/>
      <c r="J49" s="40">
        <v>0.15</v>
      </c>
      <c r="K49" s="189">
        <f t="shared" ref="K49" si="50">+IF(E49&lt;=0.12,(J51),(IF(E49&lt;0.16,((J50+2*J51+J52)/4),IF(E49&gt;=0.16,((J49+3*J50+2*J51+3*J52+J53)/10)))))</f>
        <v>0.35940000000000005</v>
      </c>
      <c r="L49" s="189">
        <f t="shared" ref="L49" si="51">ROUND(+(D44+D49)/2*(C49-C44),3)</f>
        <v>0.126</v>
      </c>
      <c r="M49" s="189">
        <f t="shared" ref="M49" si="52">ROUND(+K49*L49,4)</f>
        <v>4.53E-2</v>
      </c>
      <c r="N49" s="192">
        <f t="shared" ref="N49" si="53">ROUND(+M49/$M$128*100,2)</f>
        <v>2.19</v>
      </c>
      <c r="O49" s="193"/>
      <c r="P49" s="194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0"/>
      <c r="C50" s="190"/>
      <c r="D50" s="190"/>
      <c r="E50" s="190"/>
      <c r="F50" s="41" t="s">
        <v>76</v>
      </c>
      <c r="G50" s="42">
        <f t="shared" ref="G50" si="54">IF(E49&lt;0.125,"NA",IF(0.125&lt;=E49,(0.2*E49)))</f>
        <v>3.2800000000000003E-2</v>
      </c>
      <c r="H50" s="43"/>
      <c r="I50" s="44"/>
      <c r="J50" s="45">
        <v>0.29199999999999998</v>
      </c>
      <c r="K50" s="190"/>
      <c r="L50" s="190"/>
      <c r="M50" s="190"/>
      <c r="N50" s="190"/>
      <c r="O50" s="190"/>
      <c r="P50" s="195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0"/>
      <c r="C51" s="190"/>
      <c r="D51" s="190"/>
      <c r="E51" s="190"/>
      <c r="F51" s="41" t="s">
        <v>77</v>
      </c>
      <c r="G51" s="42">
        <f t="shared" ref="G51" si="55">+E49*0.4</f>
        <v>6.5600000000000006E-2</v>
      </c>
      <c r="H51" s="43"/>
      <c r="I51" s="44"/>
      <c r="J51" s="45">
        <v>0.40300000000000002</v>
      </c>
      <c r="K51" s="190"/>
      <c r="L51" s="190"/>
      <c r="M51" s="190"/>
      <c r="N51" s="190"/>
      <c r="O51" s="190"/>
      <c r="P51" s="195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0"/>
      <c r="C52" s="190"/>
      <c r="D52" s="190"/>
      <c r="E52" s="190"/>
      <c r="F52" s="41" t="s">
        <v>78</v>
      </c>
      <c r="G52" s="42">
        <f t="shared" ref="G52" si="56">IF(E49&lt;0.125,"NA",IF(0.125&lt;=E49,(0.8*E49)))</f>
        <v>0.13120000000000001</v>
      </c>
      <c r="H52" s="43"/>
      <c r="I52" s="44"/>
      <c r="J52" s="45">
        <v>0.45600000000000002</v>
      </c>
      <c r="K52" s="190"/>
      <c r="L52" s="190"/>
      <c r="M52" s="190"/>
      <c r="N52" s="190"/>
      <c r="O52" s="190"/>
      <c r="P52" s="195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1"/>
      <c r="C53" s="191"/>
      <c r="D53" s="191"/>
      <c r="E53" s="191"/>
      <c r="F53" s="46" t="s">
        <v>79</v>
      </c>
      <c r="G53" s="47">
        <f t="shared" ref="G53" si="57">+E49</f>
        <v>0.16400000000000001</v>
      </c>
      <c r="H53" s="48"/>
      <c r="I53" s="49"/>
      <c r="J53" s="50">
        <v>0.39400000000000002</v>
      </c>
      <c r="K53" s="191"/>
      <c r="L53" s="191"/>
      <c r="M53" s="191"/>
      <c r="N53" s="191"/>
      <c r="O53" s="191"/>
      <c r="P53" s="196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 t="s">
        <v>104</v>
      </c>
      <c r="B54" s="209">
        <f t="shared" ref="B54" si="58">+B49+1</f>
        <v>8</v>
      </c>
      <c r="C54" s="212">
        <f t="shared" ref="C54" si="59">+C49+$N$12</f>
        <v>10.199999999999999</v>
      </c>
      <c r="D54" s="189">
        <v>0.23</v>
      </c>
      <c r="E54" s="189">
        <v>0.124</v>
      </c>
      <c r="F54" s="36" t="s">
        <v>75</v>
      </c>
      <c r="G54" s="37">
        <v>0</v>
      </c>
      <c r="H54" s="38"/>
      <c r="I54" s="39"/>
      <c r="J54" s="40">
        <v>0.45600000000000002</v>
      </c>
      <c r="K54" s="189">
        <f t="shared" ref="K54" si="60">+IF(E54&lt;=0.12,(J56),(IF(E54&lt;0.16,((J55+2*J56+J57)/4),IF(E54&gt;=0.16,((J54+3*J55+2*J56+3*J57+J58)/10)))))</f>
        <v>0.50225000000000009</v>
      </c>
      <c r="L54" s="189">
        <f t="shared" ref="L54" si="61">ROUND(+(D49+D54)/2*(C54-C49),3)</f>
        <v>0.18</v>
      </c>
      <c r="M54" s="189">
        <f t="shared" ref="M54" si="62">ROUND(+K54*L54,4)</f>
        <v>9.0399999999999994E-2</v>
      </c>
      <c r="N54" s="192">
        <f t="shared" ref="N54" si="63">ROUND(+M54/$M$128*100,2)</f>
        <v>4.37</v>
      </c>
      <c r="O54" s="193"/>
      <c r="P54" s="194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0"/>
      <c r="C55" s="190"/>
      <c r="D55" s="190"/>
      <c r="E55" s="190"/>
      <c r="F55" s="41" t="s">
        <v>76</v>
      </c>
      <c r="G55" s="42" t="str">
        <f t="shared" ref="G55" si="64">IF(E54&lt;0.125,"NA",IF(0.125&lt;=E54,(0.2*E54)))</f>
        <v>NA</v>
      </c>
      <c r="H55" s="43"/>
      <c r="I55" s="44"/>
      <c r="J55" s="45">
        <v>0.46500000000000002</v>
      </c>
      <c r="K55" s="190"/>
      <c r="L55" s="190"/>
      <c r="M55" s="190"/>
      <c r="N55" s="190"/>
      <c r="O55" s="190"/>
      <c r="P55" s="195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0"/>
      <c r="C56" s="190"/>
      <c r="D56" s="190"/>
      <c r="E56" s="190"/>
      <c r="F56" s="41" t="s">
        <v>77</v>
      </c>
      <c r="G56" s="42">
        <f t="shared" ref="G56" si="65">+E54*0.4</f>
        <v>4.9600000000000005E-2</v>
      </c>
      <c r="H56" s="43"/>
      <c r="I56" s="44"/>
      <c r="J56" s="45">
        <v>0.504</v>
      </c>
      <c r="K56" s="190"/>
      <c r="L56" s="190"/>
      <c r="M56" s="190"/>
      <c r="N56" s="190"/>
      <c r="O56" s="190"/>
      <c r="P56" s="195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0"/>
      <c r="C57" s="190"/>
      <c r="D57" s="190"/>
      <c r="E57" s="190"/>
      <c r="F57" s="41" t="s">
        <v>78</v>
      </c>
      <c r="G57" s="42" t="str">
        <f t="shared" ref="G57" si="66">IF(E54&lt;0.125,"NA",IF(0.125&lt;=E54,(0.8*E54)))</f>
        <v>NA</v>
      </c>
      <c r="H57" s="43"/>
      <c r="I57" s="44"/>
      <c r="J57" s="45">
        <v>0.53600000000000003</v>
      </c>
      <c r="K57" s="190"/>
      <c r="L57" s="190"/>
      <c r="M57" s="190"/>
      <c r="N57" s="190"/>
      <c r="O57" s="190"/>
      <c r="P57" s="195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1"/>
      <c r="C58" s="191"/>
      <c r="D58" s="191"/>
      <c r="E58" s="191"/>
      <c r="F58" s="46" t="s">
        <v>79</v>
      </c>
      <c r="G58" s="47">
        <f t="shared" ref="G58" si="67">+E54</f>
        <v>0.124</v>
      </c>
      <c r="H58" s="48"/>
      <c r="I58" s="49"/>
      <c r="J58" s="50">
        <v>0.34599999999999997</v>
      </c>
      <c r="K58" s="191"/>
      <c r="L58" s="191"/>
      <c r="M58" s="191"/>
      <c r="N58" s="191"/>
      <c r="O58" s="191"/>
      <c r="P58" s="196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9">
        <f t="shared" ref="B59" si="68">+B54+1</f>
        <v>9</v>
      </c>
      <c r="C59" s="212">
        <f t="shared" ref="C59" si="69">+C54+$N$12</f>
        <v>11.2</v>
      </c>
      <c r="D59" s="189">
        <v>0.28399999999999997</v>
      </c>
      <c r="E59" s="189">
        <v>0.27400000000000002</v>
      </c>
      <c r="F59" s="36" t="s">
        <v>75</v>
      </c>
      <c r="G59" s="37">
        <v>0</v>
      </c>
      <c r="H59" s="38"/>
      <c r="I59" s="39"/>
      <c r="J59" s="40">
        <v>0.216</v>
      </c>
      <c r="K59" s="189">
        <f t="shared" ref="K59" si="70">+IF(E59&lt;=0.12,(J61),(IF(E59&lt;0.16,((J60+2*J61+J62)/4),IF(E59&gt;=0.16,((J59+3*J60+2*J61+3*J62+J63)/10)))))</f>
        <v>0.29680000000000001</v>
      </c>
      <c r="L59" s="189">
        <f t="shared" ref="L59" si="71">ROUND(+(D54+D59)/2*(C59-C54),3)</f>
        <v>0.25700000000000001</v>
      </c>
      <c r="M59" s="189">
        <f t="shared" ref="M59" si="72">ROUND(+K59*L59,4)</f>
        <v>7.6300000000000007E-2</v>
      </c>
      <c r="N59" s="192">
        <f t="shared" ref="N59" si="73">ROUND(+M59/$M$128*100,2)</f>
        <v>3.69</v>
      </c>
      <c r="O59" s="193"/>
      <c r="P59" s="194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0"/>
      <c r="C60" s="190"/>
      <c r="D60" s="190"/>
      <c r="E60" s="190"/>
      <c r="F60" s="41" t="s">
        <v>76</v>
      </c>
      <c r="G60" s="42">
        <f t="shared" ref="G60" si="74">IF(E59&lt;0.125,"NA",IF(0.125&lt;=E59,(0.2*E59)))</f>
        <v>5.4800000000000008E-2</v>
      </c>
      <c r="H60" s="43"/>
      <c r="I60" s="44"/>
      <c r="J60" s="45">
        <v>0.18</v>
      </c>
      <c r="K60" s="190"/>
      <c r="L60" s="190"/>
      <c r="M60" s="190"/>
      <c r="N60" s="190"/>
      <c r="O60" s="190"/>
      <c r="P60" s="195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0"/>
      <c r="C61" s="190"/>
      <c r="D61" s="190"/>
      <c r="E61" s="190"/>
      <c r="F61" s="41" t="s">
        <v>77</v>
      </c>
      <c r="G61" s="42">
        <f t="shared" ref="G61" si="75">+E59*0.4</f>
        <v>0.10960000000000002</v>
      </c>
      <c r="H61" s="43"/>
      <c r="I61" s="44"/>
      <c r="J61" s="45">
        <v>0.23100000000000001</v>
      </c>
      <c r="K61" s="190"/>
      <c r="L61" s="190"/>
      <c r="M61" s="190"/>
      <c r="N61" s="190"/>
      <c r="O61" s="190"/>
      <c r="P61" s="195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0"/>
      <c r="C62" s="190"/>
      <c r="D62" s="190"/>
      <c r="E62" s="190"/>
      <c r="F62" s="41" t="s">
        <v>78</v>
      </c>
      <c r="G62" s="42">
        <f t="shared" ref="G62" si="76">IF(E59&lt;0.125,"NA",IF(0.125&lt;=E59,(0.8*E59)))</f>
        <v>0.21920000000000003</v>
      </c>
      <c r="H62" s="43"/>
      <c r="I62" s="44"/>
      <c r="J62" s="45">
        <v>0.51200000000000001</v>
      </c>
      <c r="K62" s="190"/>
      <c r="L62" s="190"/>
      <c r="M62" s="190"/>
      <c r="N62" s="190"/>
      <c r="O62" s="190"/>
      <c r="P62" s="195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1"/>
      <c r="C63" s="191"/>
      <c r="D63" s="191"/>
      <c r="E63" s="191"/>
      <c r="F63" s="46" t="s">
        <v>79</v>
      </c>
      <c r="G63" s="47">
        <f t="shared" ref="G63" si="77">+E59</f>
        <v>0.27400000000000002</v>
      </c>
      <c r="H63" s="48"/>
      <c r="I63" s="49"/>
      <c r="J63" s="50">
        <v>0.214</v>
      </c>
      <c r="K63" s="191"/>
      <c r="L63" s="191"/>
      <c r="M63" s="191"/>
      <c r="N63" s="191"/>
      <c r="O63" s="191"/>
      <c r="P63" s="196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9">
        <f t="shared" ref="B64" si="78">+B59+1</f>
        <v>10</v>
      </c>
      <c r="C64" s="212">
        <f t="shared" ref="C64" si="79">+C59+$N$12</f>
        <v>12.2</v>
      </c>
      <c r="D64" s="189">
        <v>0.28899999999999998</v>
      </c>
      <c r="E64" s="189">
        <v>0.31</v>
      </c>
      <c r="F64" s="36" t="s">
        <v>75</v>
      </c>
      <c r="G64" s="37">
        <v>0</v>
      </c>
      <c r="H64" s="38"/>
      <c r="I64" s="39"/>
      <c r="J64" s="40">
        <v>0.34300000000000003</v>
      </c>
      <c r="K64" s="189">
        <f t="shared" ref="K64" si="80">+IF(E64&lt;=0.12,(J66),(IF(E64&lt;0.16,((J65+2*J66+J67)/4),IF(E64&gt;=0.16,((J64+3*J65+2*J66+3*J67+J68)/10)))))</f>
        <v>0.47160000000000002</v>
      </c>
      <c r="L64" s="189">
        <f t="shared" ref="L64" si="81">ROUND(+(D59+D64)/2*(C64-C59),3)</f>
        <v>0.28699999999999998</v>
      </c>
      <c r="M64" s="189">
        <f t="shared" ref="M64" si="82">ROUND(+K64*L64,4)</f>
        <v>0.1353</v>
      </c>
      <c r="N64" s="192">
        <f t="shared" ref="N64" si="83">ROUND(+M64/$M$128*100,2)</f>
        <v>6.55</v>
      </c>
      <c r="O64" s="193"/>
      <c r="P64" s="194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0"/>
      <c r="C65" s="190"/>
      <c r="D65" s="190"/>
      <c r="E65" s="190"/>
      <c r="F65" s="41" t="s">
        <v>76</v>
      </c>
      <c r="G65" s="42">
        <f t="shared" ref="G65" si="84">IF(E64&lt;0.125,"NA",IF(0.125&lt;=E64,(0.2*E64)))</f>
        <v>6.2E-2</v>
      </c>
      <c r="H65" s="43"/>
      <c r="I65" s="44"/>
      <c r="J65" s="45">
        <v>0.375</v>
      </c>
      <c r="K65" s="190"/>
      <c r="L65" s="190"/>
      <c r="M65" s="190"/>
      <c r="N65" s="190"/>
      <c r="O65" s="190"/>
      <c r="P65" s="195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0"/>
      <c r="C66" s="190"/>
      <c r="D66" s="190"/>
      <c r="E66" s="190"/>
      <c r="F66" s="41" t="s">
        <v>77</v>
      </c>
      <c r="G66" s="42">
        <f t="shared" ref="G66" si="85">+E64*0.4</f>
        <v>0.124</v>
      </c>
      <c r="H66" s="43"/>
      <c r="I66" s="44"/>
      <c r="J66" s="45">
        <v>0.53900000000000003</v>
      </c>
      <c r="K66" s="190"/>
      <c r="L66" s="190"/>
      <c r="M66" s="190"/>
      <c r="N66" s="190"/>
      <c r="O66" s="190"/>
      <c r="P66" s="195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0"/>
      <c r="C67" s="190"/>
      <c r="D67" s="190"/>
      <c r="E67" s="190"/>
      <c r="F67" s="41" t="s">
        <v>78</v>
      </c>
      <c r="G67" s="42">
        <f t="shared" ref="G67" si="86">IF(E64&lt;0.125,"NA",IF(0.125&lt;=E64,(0.8*E64)))</f>
        <v>0.248</v>
      </c>
      <c r="H67" s="43"/>
      <c r="I67" s="44"/>
      <c r="J67" s="45">
        <v>0.55600000000000005</v>
      </c>
      <c r="K67" s="190"/>
      <c r="L67" s="190"/>
      <c r="M67" s="190"/>
      <c r="N67" s="190"/>
      <c r="O67" s="190"/>
      <c r="P67" s="195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1"/>
      <c r="C68" s="191"/>
      <c r="D68" s="191"/>
      <c r="E68" s="191"/>
      <c r="F68" s="46" t="s">
        <v>79</v>
      </c>
      <c r="G68" s="47">
        <f t="shared" ref="G68" si="87">+E64</f>
        <v>0.31</v>
      </c>
      <c r="H68" s="48"/>
      <c r="I68" s="49"/>
      <c r="J68" s="50">
        <v>0.502</v>
      </c>
      <c r="K68" s="191"/>
      <c r="L68" s="191"/>
      <c r="M68" s="191"/>
      <c r="N68" s="191"/>
      <c r="O68" s="191"/>
      <c r="P68" s="196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9">
        <f t="shared" ref="B69" si="88">+B64+1</f>
        <v>11</v>
      </c>
      <c r="C69" s="212">
        <f t="shared" ref="C69" si="89">+C64+$N$12</f>
        <v>13.2</v>
      </c>
      <c r="D69" s="189">
        <v>0.33100000000000002</v>
      </c>
      <c r="E69" s="189">
        <v>0.35599999999999998</v>
      </c>
      <c r="F69" s="36" t="s">
        <v>75</v>
      </c>
      <c r="G69" s="37">
        <v>0</v>
      </c>
      <c r="H69" s="38"/>
      <c r="I69" s="39"/>
      <c r="J69" s="40">
        <v>0.40600000000000003</v>
      </c>
      <c r="K69" s="189">
        <f t="shared" ref="K69" si="90">+IF(E69&lt;=0.12,(J71),(IF(E69&lt;0.16,((J70+2*J71+J72)/4),IF(E69&gt;=0.16,((J69+3*J70+2*J71+3*J72+J73)/10)))))</f>
        <v>0.49109999999999998</v>
      </c>
      <c r="L69" s="189">
        <f t="shared" ref="L69" si="91">ROUND(+(D64+D69)/2*(C69-C64),3)</f>
        <v>0.31</v>
      </c>
      <c r="M69" s="189">
        <f t="shared" ref="M69" si="92">ROUND(+K69*L69,4)</f>
        <v>0.1522</v>
      </c>
      <c r="N69" s="192">
        <f t="shared" ref="N69" si="93">ROUND(+M69/$M$128*100,2)</f>
        <v>7.36</v>
      </c>
      <c r="O69" s="193"/>
      <c r="P69" s="194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0"/>
      <c r="C70" s="190"/>
      <c r="D70" s="190"/>
      <c r="E70" s="190"/>
      <c r="F70" s="41" t="s">
        <v>76</v>
      </c>
      <c r="G70" s="42">
        <f t="shared" ref="G70" si="94">IF(E69&lt;0.125,"NA",IF(0.125&lt;=E69,(0.2*E69)))</f>
        <v>7.1199999999999999E-2</v>
      </c>
      <c r="H70" s="43"/>
      <c r="I70" s="44"/>
      <c r="J70" s="45">
        <v>0.311</v>
      </c>
      <c r="K70" s="190"/>
      <c r="L70" s="190"/>
      <c r="M70" s="190"/>
      <c r="N70" s="190"/>
      <c r="O70" s="190"/>
      <c r="P70" s="195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0"/>
      <c r="C71" s="190"/>
      <c r="D71" s="190"/>
      <c r="E71" s="190"/>
      <c r="F71" s="41" t="s">
        <v>77</v>
      </c>
      <c r="G71" s="42">
        <f t="shared" ref="G71" si="95">+E69*0.4</f>
        <v>0.1424</v>
      </c>
      <c r="H71" s="43"/>
      <c r="I71" s="44"/>
      <c r="J71" s="45">
        <v>0.40899999999999997</v>
      </c>
      <c r="K71" s="190"/>
      <c r="L71" s="190"/>
      <c r="M71" s="190"/>
      <c r="N71" s="190"/>
      <c r="O71" s="190"/>
      <c r="P71" s="195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0"/>
      <c r="C72" s="190"/>
      <c r="D72" s="190"/>
      <c r="E72" s="190"/>
      <c r="F72" s="41" t="s">
        <v>78</v>
      </c>
      <c r="G72" s="42">
        <f t="shared" ref="G72" si="96">IF(E69&lt;0.125,"NA",IF(0.125&lt;=E69,(0.8*E69)))</f>
        <v>0.2848</v>
      </c>
      <c r="H72" s="43"/>
      <c r="I72" s="44"/>
      <c r="J72" s="45">
        <v>0.70299999999999996</v>
      </c>
      <c r="K72" s="190"/>
      <c r="L72" s="190"/>
      <c r="M72" s="190"/>
      <c r="N72" s="190"/>
      <c r="O72" s="190"/>
      <c r="P72" s="195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1"/>
      <c r="C73" s="191"/>
      <c r="D73" s="191"/>
      <c r="E73" s="191"/>
      <c r="F73" s="46" t="s">
        <v>79</v>
      </c>
      <c r="G73" s="47">
        <f t="shared" ref="G73" si="97">+E69</f>
        <v>0.35599999999999998</v>
      </c>
      <c r="H73" s="48"/>
      <c r="I73" s="49"/>
      <c r="J73" s="50">
        <v>0.64500000000000002</v>
      </c>
      <c r="K73" s="191"/>
      <c r="L73" s="191"/>
      <c r="M73" s="191"/>
      <c r="N73" s="191"/>
      <c r="O73" s="191"/>
      <c r="P73" s="196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9">
        <f t="shared" ref="B74" si="98">+B69+1</f>
        <v>12</v>
      </c>
      <c r="C74" s="212">
        <f t="shared" ref="C74" si="99">+C69+$N$12</f>
        <v>14.2</v>
      </c>
      <c r="D74" s="189">
        <v>0.255</v>
      </c>
      <c r="E74" s="189">
        <v>0.27600000000000002</v>
      </c>
      <c r="F74" s="36" t="s">
        <v>75</v>
      </c>
      <c r="G74" s="37">
        <v>0</v>
      </c>
      <c r="H74" s="38"/>
      <c r="I74" s="39"/>
      <c r="J74" s="40">
        <v>0.36</v>
      </c>
      <c r="K74" s="189">
        <f t="shared" ref="K74" si="100">+IF(E74&lt;=0.12,(J76),(IF(E74&lt;0.16,((J75+2*J76+J77)/4),IF(E74&gt;=0.16,((J74+3*J75+2*J76+3*J77+J78)/10)))))</f>
        <v>0.44579999999999992</v>
      </c>
      <c r="L74" s="189">
        <f t="shared" ref="L74" si="101">ROUND(+(D69+D74)/2*(C74-C69),3)</f>
        <v>0.29299999999999998</v>
      </c>
      <c r="M74" s="189">
        <f t="shared" ref="M74" si="102">ROUND(+K74*L74,4)</f>
        <v>0.13059999999999999</v>
      </c>
      <c r="N74" s="192">
        <f t="shared" ref="N74" si="103">ROUND(+M74/$M$128*100,2)</f>
        <v>6.32</v>
      </c>
      <c r="O74" s="193"/>
      <c r="P74" s="194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0"/>
      <c r="C75" s="190"/>
      <c r="D75" s="190"/>
      <c r="E75" s="190"/>
      <c r="F75" s="41" t="s">
        <v>76</v>
      </c>
      <c r="G75" s="42">
        <f t="shared" ref="G75" si="104">IF(E74&lt;0.125,"NA",IF(0.125&lt;=E74,(0.2*E74)))</f>
        <v>5.5200000000000006E-2</v>
      </c>
      <c r="H75" s="43"/>
      <c r="I75" s="44"/>
      <c r="J75" s="45">
        <v>0.39</v>
      </c>
      <c r="K75" s="190"/>
      <c r="L75" s="190"/>
      <c r="M75" s="190"/>
      <c r="N75" s="190"/>
      <c r="O75" s="190"/>
      <c r="P75" s="195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0"/>
      <c r="C76" s="190"/>
      <c r="D76" s="190"/>
      <c r="E76" s="190"/>
      <c r="F76" s="41" t="s">
        <v>77</v>
      </c>
      <c r="G76" s="42">
        <f t="shared" ref="G76" si="105">+E74*0.4</f>
        <v>0.11040000000000001</v>
      </c>
      <c r="H76" s="43"/>
      <c r="I76" s="44"/>
      <c r="J76" s="45">
        <v>0.46400000000000002</v>
      </c>
      <c r="K76" s="190"/>
      <c r="L76" s="190"/>
      <c r="M76" s="190"/>
      <c r="N76" s="190"/>
      <c r="O76" s="190"/>
      <c r="P76" s="195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0"/>
      <c r="C77" s="190"/>
      <c r="D77" s="190"/>
      <c r="E77" s="190"/>
      <c r="F77" s="41" t="s">
        <v>78</v>
      </c>
      <c r="G77" s="42">
        <f t="shared" ref="G77" si="106">IF(E74&lt;0.125,"NA",IF(0.125&lt;=E74,(0.8*E74)))</f>
        <v>0.22080000000000002</v>
      </c>
      <c r="H77" s="43"/>
      <c r="I77" s="44"/>
      <c r="J77" s="45">
        <v>0.49399999999999999</v>
      </c>
      <c r="K77" s="190"/>
      <c r="L77" s="190"/>
      <c r="M77" s="190"/>
      <c r="N77" s="190"/>
      <c r="O77" s="190"/>
      <c r="P77" s="195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1"/>
      <c r="C78" s="191"/>
      <c r="D78" s="191"/>
      <c r="E78" s="191"/>
      <c r="F78" s="46" t="s">
        <v>79</v>
      </c>
      <c r="G78" s="47">
        <f t="shared" ref="G78" si="107">+E74</f>
        <v>0.27600000000000002</v>
      </c>
      <c r="H78" s="48"/>
      <c r="I78" s="49"/>
      <c r="J78" s="50">
        <v>0.51800000000000002</v>
      </c>
      <c r="K78" s="191"/>
      <c r="L78" s="191"/>
      <c r="M78" s="191"/>
      <c r="N78" s="191"/>
      <c r="O78" s="191"/>
      <c r="P78" s="196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9">
        <f t="shared" ref="B79" si="108">+B74+1</f>
        <v>13</v>
      </c>
      <c r="C79" s="212">
        <f t="shared" ref="C79" si="109">+C74+$N$12</f>
        <v>15.2</v>
      </c>
      <c r="D79" s="189">
        <v>0.37</v>
      </c>
      <c r="E79" s="189">
        <v>0.38800000000000001</v>
      </c>
      <c r="F79" s="36" t="s">
        <v>75</v>
      </c>
      <c r="G79" s="37">
        <v>0</v>
      </c>
      <c r="H79" s="38"/>
      <c r="I79" s="39"/>
      <c r="J79" s="40">
        <v>0.20699999999999999</v>
      </c>
      <c r="K79" s="189">
        <f t="shared" ref="K79" si="110">+IF(E79&lt;=0.12,(J81),(IF(E79&lt;0.16,((J80+2*J81+J82)/4),IF(E79&gt;=0.16,((J79+3*J80+2*J81+3*J82+J83)/10)))))</f>
        <v>0.3523</v>
      </c>
      <c r="L79" s="189">
        <f t="shared" ref="L79" si="111">ROUND(+(D74+D79)/2*(C79-C74),3)</f>
        <v>0.313</v>
      </c>
      <c r="M79" s="189">
        <f t="shared" ref="M79" si="112">ROUND(+K79*L79,4)</f>
        <v>0.1103</v>
      </c>
      <c r="N79" s="192">
        <f t="shared" ref="N79" si="113">ROUND(+M79/$M$128*100,2)</f>
        <v>5.34</v>
      </c>
      <c r="O79" s="193"/>
      <c r="P79" s="194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0"/>
      <c r="C80" s="190"/>
      <c r="D80" s="190"/>
      <c r="E80" s="190"/>
      <c r="F80" s="41" t="s">
        <v>76</v>
      </c>
      <c r="G80" s="42">
        <f t="shared" ref="G80" si="114">IF(E79&lt;0.125,"NA",IF(0.125&lt;=E79,(0.2*E79)))</f>
        <v>7.7600000000000002E-2</v>
      </c>
      <c r="H80" s="43"/>
      <c r="I80" s="44"/>
      <c r="J80" s="45">
        <v>0.33800000000000002</v>
      </c>
      <c r="K80" s="190"/>
      <c r="L80" s="190"/>
      <c r="M80" s="190"/>
      <c r="N80" s="190"/>
      <c r="O80" s="190"/>
      <c r="P80" s="195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0"/>
      <c r="C81" s="190"/>
      <c r="D81" s="190"/>
      <c r="E81" s="190"/>
      <c r="F81" s="41" t="s">
        <v>77</v>
      </c>
      <c r="G81" s="42">
        <f t="shared" ref="G81" si="115">+E79*0.4</f>
        <v>0.1552</v>
      </c>
      <c r="H81" s="43"/>
      <c r="I81" s="44"/>
      <c r="J81" s="45">
        <v>0.35899999999999999</v>
      </c>
      <c r="K81" s="190"/>
      <c r="L81" s="190"/>
      <c r="M81" s="190"/>
      <c r="N81" s="190"/>
      <c r="O81" s="190"/>
      <c r="P81" s="195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0"/>
      <c r="C82" s="190"/>
      <c r="D82" s="190"/>
      <c r="E82" s="190"/>
      <c r="F82" s="41" t="s">
        <v>78</v>
      </c>
      <c r="G82" s="42">
        <f t="shared" ref="G82" si="116">IF(E79&lt;0.125,"NA",IF(0.125&lt;=E79,(0.8*E79)))</f>
        <v>0.31040000000000001</v>
      </c>
      <c r="H82" s="43"/>
      <c r="I82" s="44"/>
      <c r="J82" s="45">
        <v>0.39900000000000002</v>
      </c>
      <c r="K82" s="190"/>
      <c r="L82" s="190"/>
      <c r="M82" s="190"/>
      <c r="N82" s="190"/>
      <c r="O82" s="190"/>
      <c r="P82" s="195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1"/>
      <c r="C83" s="191"/>
      <c r="D83" s="191"/>
      <c r="E83" s="191"/>
      <c r="F83" s="46" t="s">
        <v>79</v>
      </c>
      <c r="G83" s="47">
        <f t="shared" ref="G83" si="117">+E79</f>
        <v>0.38800000000000001</v>
      </c>
      <c r="H83" s="48"/>
      <c r="I83" s="49"/>
      <c r="J83" s="50">
        <v>0.38700000000000001</v>
      </c>
      <c r="K83" s="191"/>
      <c r="L83" s="191"/>
      <c r="M83" s="191"/>
      <c r="N83" s="191"/>
      <c r="O83" s="191"/>
      <c r="P83" s="196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9">
        <f t="shared" ref="B84" si="118">+B79+1</f>
        <v>14</v>
      </c>
      <c r="C84" s="212">
        <f t="shared" ref="C84" si="119">+C79+$N$12</f>
        <v>16.2</v>
      </c>
      <c r="D84" s="189">
        <v>0.56599999999999995</v>
      </c>
      <c r="E84" s="189">
        <v>0.48499999999999999</v>
      </c>
      <c r="F84" s="36" t="s">
        <v>75</v>
      </c>
      <c r="G84" s="37">
        <v>0</v>
      </c>
      <c r="H84" s="38"/>
      <c r="I84" s="39"/>
      <c r="J84" s="40">
        <v>0.48</v>
      </c>
      <c r="K84" s="189">
        <f t="shared" ref="K84" si="120">+IF(E84&lt;=0.12,(J86),(IF(E84&lt;0.16,((J85+2*J86+J87)/4),IF(E84&gt;=0.16,((J84+3*J85+2*J86+3*J87+J88)/10)))))</f>
        <v>0.70350000000000001</v>
      </c>
      <c r="L84" s="189">
        <f t="shared" ref="L84" si="121">ROUND(+(D79+D84)/2*(C84-C79),3)</f>
        <v>0.46800000000000003</v>
      </c>
      <c r="M84" s="189">
        <f t="shared" ref="M84" si="122">ROUND(+K84*L84,4)</f>
        <v>0.32919999999999999</v>
      </c>
      <c r="N84" s="192">
        <f t="shared" ref="N84" si="123">ROUND(+M84/$M$128*100,2)</f>
        <v>15.93</v>
      </c>
      <c r="O84" s="193"/>
      <c r="P84" s="194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0"/>
      <c r="C85" s="190"/>
      <c r="D85" s="190"/>
      <c r="E85" s="190"/>
      <c r="F85" s="41" t="s">
        <v>76</v>
      </c>
      <c r="G85" s="42">
        <f t="shared" ref="G85" si="124">IF(E84&lt;0.125,"NA",IF(0.125&lt;=E84,(0.2*E84)))</f>
        <v>9.7000000000000003E-2</v>
      </c>
      <c r="H85" s="43"/>
      <c r="I85" s="44"/>
      <c r="J85" s="45">
        <v>0.72199999999999998</v>
      </c>
      <c r="K85" s="190"/>
      <c r="L85" s="190"/>
      <c r="M85" s="190"/>
      <c r="N85" s="190"/>
      <c r="O85" s="190"/>
      <c r="P85" s="195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0"/>
      <c r="C86" s="190"/>
      <c r="D86" s="190"/>
      <c r="E86" s="190"/>
      <c r="F86" s="41" t="s">
        <v>77</v>
      </c>
      <c r="G86" s="42">
        <f t="shared" ref="G86" si="125">+E84*0.4</f>
        <v>0.19400000000000001</v>
      </c>
      <c r="H86" s="43"/>
      <c r="I86" s="44"/>
      <c r="J86" s="45">
        <v>0.66800000000000004</v>
      </c>
      <c r="K86" s="190"/>
      <c r="L86" s="190"/>
      <c r="M86" s="190"/>
      <c r="N86" s="190"/>
      <c r="O86" s="190"/>
      <c r="P86" s="195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0"/>
      <c r="C87" s="190"/>
      <c r="D87" s="190"/>
      <c r="E87" s="190"/>
      <c r="F87" s="41" t="s">
        <v>78</v>
      </c>
      <c r="G87" s="42">
        <f t="shared" ref="G87" si="126">IF(E84&lt;0.125,"NA",IF(0.125&lt;=E84,(0.8*E84)))</f>
        <v>0.38800000000000001</v>
      </c>
      <c r="H87" s="43"/>
      <c r="I87" s="44"/>
      <c r="J87" s="45">
        <v>0.76400000000000001</v>
      </c>
      <c r="K87" s="190"/>
      <c r="L87" s="190"/>
      <c r="M87" s="190"/>
      <c r="N87" s="190"/>
      <c r="O87" s="190"/>
      <c r="P87" s="195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1"/>
      <c r="C88" s="191"/>
      <c r="D88" s="191"/>
      <c r="E88" s="191"/>
      <c r="F88" s="46" t="s">
        <v>79</v>
      </c>
      <c r="G88" s="47">
        <f t="shared" ref="G88" si="127">+E84</f>
        <v>0.48499999999999999</v>
      </c>
      <c r="H88" s="48"/>
      <c r="I88" s="49"/>
      <c r="J88" s="50">
        <v>0.76100000000000001</v>
      </c>
      <c r="K88" s="191"/>
      <c r="L88" s="191"/>
      <c r="M88" s="191"/>
      <c r="N88" s="191"/>
      <c r="O88" s="191"/>
      <c r="P88" s="196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 t="s">
        <v>104</v>
      </c>
      <c r="B89" s="209">
        <f t="shared" ref="B89" si="128">+B84+1</f>
        <v>15</v>
      </c>
      <c r="C89" s="212">
        <f t="shared" ref="C89" si="129">+C84+$N$12</f>
        <v>17.2</v>
      </c>
      <c r="D89" s="189">
        <v>0.48699999999999999</v>
      </c>
      <c r="E89" s="189">
        <v>0.51200000000000001</v>
      </c>
      <c r="F89" s="36" t="s">
        <v>75</v>
      </c>
      <c r="G89" s="37">
        <v>0</v>
      </c>
      <c r="H89" s="38"/>
      <c r="I89" s="39"/>
      <c r="J89" s="40">
        <v>0.60099999999999998</v>
      </c>
      <c r="K89" s="189">
        <f t="shared" ref="K89" si="130">+IF(E89&lt;=0.12,(J91),(IF(E89&lt;0.16,((J90+2*J91+J92)/4),IF(E89&gt;=0.16,((J89+3*J90+2*J91+3*J92+J93)/10)))))</f>
        <v>0.77069999999999994</v>
      </c>
      <c r="L89" s="189">
        <f t="shared" ref="L89" si="131">ROUND(+(D84+D89)/2*(C89-C84),3)</f>
        <v>0.52700000000000002</v>
      </c>
      <c r="M89" s="189">
        <f t="shared" ref="M89" si="132">ROUND(+K89*L89,4)</f>
        <v>0.40620000000000001</v>
      </c>
      <c r="N89" s="192">
        <f t="shared" ref="N89" si="133">ROUND(+M89/$M$128*100,2)</f>
        <v>19.649999999999999</v>
      </c>
      <c r="O89" s="193"/>
      <c r="P89" s="194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0"/>
      <c r="C90" s="190"/>
      <c r="D90" s="190"/>
      <c r="E90" s="190"/>
      <c r="F90" s="41" t="s">
        <v>76</v>
      </c>
      <c r="G90" s="42">
        <f t="shared" ref="G90" si="134">IF(E89&lt;0.125,"NA",IF(0.125&lt;=E89,(0.2*E89)))</f>
        <v>0.1024</v>
      </c>
      <c r="H90" s="43"/>
      <c r="I90" s="44"/>
      <c r="J90" s="45">
        <v>0.72499999999999998</v>
      </c>
      <c r="K90" s="190"/>
      <c r="L90" s="190"/>
      <c r="M90" s="190"/>
      <c r="N90" s="190"/>
      <c r="O90" s="190"/>
      <c r="P90" s="195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0"/>
      <c r="C91" s="190"/>
      <c r="D91" s="190"/>
      <c r="E91" s="190"/>
      <c r="F91" s="41" t="s">
        <v>77</v>
      </c>
      <c r="G91" s="42">
        <f t="shared" ref="G91" si="135">+E89*0.4</f>
        <v>0.20480000000000001</v>
      </c>
      <c r="H91" s="43"/>
      <c r="I91" s="44"/>
      <c r="J91" s="45">
        <v>0.79200000000000004</v>
      </c>
      <c r="K91" s="190"/>
      <c r="L91" s="190"/>
      <c r="M91" s="190"/>
      <c r="N91" s="190"/>
      <c r="O91" s="190"/>
      <c r="P91" s="195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0"/>
      <c r="C92" s="190"/>
      <c r="D92" s="190"/>
      <c r="E92" s="190"/>
      <c r="F92" s="41" t="s">
        <v>78</v>
      </c>
      <c r="G92" s="42">
        <f t="shared" ref="G92" si="136">IF(E89&lt;0.125,"NA",IF(0.125&lt;=E89,(0.8*E89)))</f>
        <v>0.40960000000000002</v>
      </c>
      <c r="H92" s="43"/>
      <c r="I92" s="44"/>
      <c r="J92" s="45">
        <v>0.84799999999999998</v>
      </c>
      <c r="K92" s="190"/>
      <c r="L92" s="190"/>
      <c r="M92" s="190"/>
      <c r="N92" s="190"/>
      <c r="O92" s="190"/>
      <c r="P92" s="195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1"/>
      <c r="C93" s="191"/>
      <c r="D93" s="191"/>
      <c r="E93" s="191"/>
      <c r="F93" s="46" t="s">
        <v>79</v>
      </c>
      <c r="G93" s="47">
        <f t="shared" ref="G93" si="137">+E89</f>
        <v>0.51200000000000001</v>
      </c>
      <c r="H93" s="48"/>
      <c r="I93" s="49"/>
      <c r="J93" s="50">
        <v>0.80300000000000005</v>
      </c>
      <c r="K93" s="191"/>
      <c r="L93" s="191"/>
      <c r="M93" s="191"/>
      <c r="N93" s="191"/>
      <c r="O93" s="191"/>
      <c r="P93" s="196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9">
        <f t="shared" ref="B94" si="138">+B89+1</f>
        <v>16</v>
      </c>
      <c r="C94" s="212">
        <f t="shared" ref="C94" si="139">+C89+$N$12</f>
        <v>18.2</v>
      </c>
      <c r="D94" s="189">
        <v>0.53</v>
      </c>
      <c r="E94" s="189">
        <v>0.52200000000000002</v>
      </c>
      <c r="F94" s="36" t="s">
        <v>75</v>
      </c>
      <c r="G94" s="37">
        <v>0</v>
      </c>
      <c r="H94" s="38"/>
      <c r="I94" s="39"/>
      <c r="J94" s="40">
        <v>0.36499999999999999</v>
      </c>
      <c r="K94" s="189">
        <f t="shared" ref="K94" si="140">+IF(E94&lt;=0.12,(J96),(IF(E94&lt;0.16,((J95+2*J96+J97)/4),IF(E94&gt;=0.16,((J94+3*J95+2*J96+3*J97+J98)/10)))))</f>
        <v>0.58099999999999996</v>
      </c>
      <c r="L94" s="189">
        <f t="shared" ref="L94" si="141">ROUND(+(D89+D94)/2*(C94-C89),3)</f>
        <v>0.50900000000000001</v>
      </c>
      <c r="M94" s="189">
        <f t="shared" ref="M94" si="142">ROUND(+K94*L94,4)</f>
        <v>0.29570000000000002</v>
      </c>
      <c r="N94" s="192">
        <f t="shared" ref="N94" si="143">ROUND(+M94/$M$128*100,2)</f>
        <v>14.31</v>
      </c>
      <c r="O94" s="193"/>
      <c r="P94" s="194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0"/>
      <c r="C95" s="190"/>
      <c r="D95" s="190"/>
      <c r="E95" s="190"/>
      <c r="F95" s="41" t="s">
        <v>76</v>
      </c>
      <c r="G95" s="42">
        <f t="shared" ref="G95" si="144">IF(E94&lt;0.125,"NA",IF(0.125&lt;=E94,(0.2*E94)))</f>
        <v>0.10440000000000001</v>
      </c>
      <c r="H95" s="43"/>
      <c r="I95" s="44"/>
      <c r="J95" s="45">
        <v>0.49199999999999999</v>
      </c>
      <c r="K95" s="190"/>
      <c r="L95" s="190"/>
      <c r="M95" s="190"/>
      <c r="N95" s="190"/>
      <c r="O95" s="190"/>
      <c r="P95" s="195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0"/>
      <c r="C96" s="190"/>
      <c r="D96" s="190"/>
      <c r="E96" s="190"/>
      <c r="F96" s="41" t="s">
        <v>77</v>
      </c>
      <c r="G96" s="42">
        <f t="shared" ref="G96" si="145">+E94*0.4</f>
        <v>0.20880000000000001</v>
      </c>
      <c r="H96" s="43"/>
      <c r="I96" s="44"/>
      <c r="J96" s="45">
        <v>0.51900000000000002</v>
      </c>
      <c r="K96" s="190"/>
      <c r="L96" s="190"/>
      <c r="M96" s="190"/>
      <c r="N96" s="190"/>
      <c r="O96" s="190"/>
      <c r="P96" s="195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0"/>
      <c r="C97" s="190"/>
      <c r="D97" s="190"/>
      <c r="E97" s="190"/>
      <c r="F97" s="41" t="s">
        <v>78</v>
      </c>
      <c r="G97" s="42">
        <f t="shared" ref="G97" si="146">IF(E94&lt;0.125,"NA",IF(0.125&lt;=E94,(0.8*E94)))</f>
        <v>0.41760000000000003</v>
      </c>
      <c r="H97" s="43"/>
      <c r="I97" s="44"/>
      <c r="J97" s="45">
        <v>0.746</v>
      </c>
      <c r="K97" s="190"/>
      <c r="L97" s="190"/>
      <c r="M97" s="190"/>
      <c r="N97" s="190"/>
      <c r="O97" s="190"/>
      <c r="P97" s="195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1"/>
      <c r="C98" s="191"/>
      <c r="D98" s="191"/>
      <c r="E98" s="191"/>
      <c r="F98" s="46" t="s">
        <v>79</v>
      </c>
      <c r="G98" s="47">
        <f t="shared" ref="G98" si="147">+E94</f>
        <v>0.52200000000000002</v>
      </c>
      <c r="H98" s="48"/>
      <c r="I98" s="49"/>
      <c r="J98" s="50">
        <v>0.69299999999999995</v>
      </c>
      <c r="K98" s="191"/>
      <c r="L98" s="191"/>
      <c r="M98" s="191"/>
      <c r="N98" s="191"/>
      <c r="O98" s="191"/>
      <c r="P98" s="196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9">
        <f t="shared" ref="B99" si="148">+B94+1</f>
        <v>17</v>
      </c>
      <c r="C99" s="212">
        <f t="shared" ref="C99" si="149">+C94+$N$12</f>
        <v>19.2</v>
      </c>
      <c r="D99" s="189">
        <v>0.38400000000000001</v>
      </c>
      <c r="E99" s="189">
        <v>0.54</v>
      </c>
      <c r="F99" s="36" t="s">
        <v>75</v>
      </c>
      <c r="G99" s="37">
        <v>0</v>
      </c>
      <c r="H99" s="38"/>
      <c r="I99" s="39"/>
      <c r="J99" s="40"/>
      <c r="K99" s="189"/>
      <c r="L99" s="189"/>
      <c r="M99" s="189"/>
      <c r="N99" s="192"/>
      <c r="O99" s="193"/>
      <c r="P99" s="194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0"/>
      <c r="C100" s="190"/>
      <c r="D100" s="190"/>
      <c r="E100" s="190"/>
      <c r="F100" s="41" t="s">
        <v>76</v>
      </c>
      <c r="G100" s="42">
        <f t="shared" ref="G100" si="150">IF(E99&lt;0.125,"NA",IF(0.125&lt;=E99,(0.2*E99)))</f>
        <v>0.10800000000000001</v>
      </c>
      <c r="H100" s="43"/>
      <c r="I100" s="44"/>
      <c r="J100" s="45"/>
      <c r="K100" s="190"/>
      <c r="L100" s="190"/>
      <c r="M100" s="190"/>
      <c r="N100" s="190"/>
      <c r="O100" s="190"/>
      <c r="P100" s="195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0"/>
      <c r="C101" s="190"/>
      <c r="D101" s="190"/>
      <c r="E101" s="190"/>
      <c r="F101" s="41" t="s">
        <v>77</v>
      </c>
      <c r="G101" s="42">
        <f t="shared" ref="G101" si="151">+E99*0.4</f>
        <v>0.21600000000000003</v>
      </c>
      <c r="H101" s="43"/>
      <c r="I101" s="44"/>
      <c r="J101" s="45"/>
      <c r="K101" s="190"/>
      <c r="L101" s="190"/>
      <c r="M101" s="190"/>
      <c r="N101" s="190"/>
      <c r="O101" s="190"/>
      <c r="P101" s="195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0"/>
      <c r="C102" s="190"/>
      <c r="D102" s="190"/>
      <c r="E102" s="190"/>
      <c r="F102" s="41" t="s">
        <v>78</v>
      </c>
      <c r="G102" s="42">
        <f t="shared" ref="G102" si="152">IF(E99&lt;0.125,"NA",IF(0.125&lt;=E99,(0.8*E99)))</f>
        <v>0.43200000000000005</v>
      </c>
      <c r="H102" s="43"/>
      <c r="I102" s="44"/>
      <c r="J102" s="45"/>
      <c r="K102" s="190"/>
      <c r="L102" s="190"/>
      <c r="M102" s="190"/>
      <c r="N102" s="190"/>
      <c r="O102" s="190"/>
      <c r="P102" s="195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1"/>
      <c r="C103" s="191"/>
      <c r="D103" s="191"/>
      <c r="E103" s="191"/>
      <c r="F103" s="46" t="s">
        <v>79</v>
      </c>
      <c r="G103" s="47">
        <f t="shared" ref="G103" si="153">+E99</f>
        <v>0.54</v>
      </c>
      <c r="H103" s="48"/>
      <c r="I103" s="49"/>
      <c r="J103" s="50"/>
      <c r="K103" s="191"/>
      <c r="L103" s="191"/>
      <c r="M103" s="191"/>
      <c r="N103" s="191"/>
      <c r="O103" s="191"/>
      <c r="P103" s="196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09">
        <f t="shared" ref="B104" si="154">+B99+1</f>
        <v>18</v>
      </c>
      <c r="C104" s="212">
        <f>+C99+1.3</f>
        <v>20.5</v>
      </c>
      <c r="D104" s="189">
        <v>8.4000000000000005E-2</v>
      </c>
      <c r="E104" s="189">
        <v>0.311</v>
      </c>
      <c r="F104" s="36" t="s">
        <v>75</v>
      </c>
      <c r="G104" s="37">
        <v>0</v>
      </c>
      <c r="H104" s="38"/>
      <c r="I104" s="39"/>
      <c r="J104" s="40">
        <v>1.9E-2</v>
      </c>
      <c r="K104" s="189">
        <f t="shared" ref="K104" si="155">+IF(E104&lt;=0.12,(J106),(IF(E104&lt;0.16,((J105+2*J106+J107)/4),IF(E104&gt;=0.16,((J104+3*J105+2*J106+3*J107+J108)/10)))))</f>
        <v>9.98E-2</v>
      </c>
      <c r="L104" s="189">
        <f t="shared" ref="L104" si="156">ROUND(+(D99+D104)/2*(C104-C99),3)</f>
        <v>0.30399999999999999</v>
      </c>
      <c r="M104" s="189">
        <f t="shared" ref="M104" si="157">ROUND(+K104*L104,4)</f>
        <v>3.0300000000000001E-2</v>
      </c>
      <c r="N104" s="192">
        <f t="shared" ref="N104" si="158">ROUND(+M104/$M$128*100,2)</f>
        <v>1.47</v>
      </c>
      <c r="O104" s="193"/>
      <c r="P104" s="194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0"/>
      <c r="C105" s="190"/>
      <c r="D105" s="190"/>
      <c r="E105" s="190"/>
      <c r="F105" s="41" t="s">
        <v>76</v>
      </c>
      <c r="G105" s="42">
        <f t="shared" ref="G105" si="159">IF(E104&lt;0.125,"NA",IF(0.125&lt;=E104,(0.2*E104)))</f>
        <v>6.2200000000000005E-2</v>
      </c>
      <c r="H105" s="43"/>
      <c r="I105" s="44"/>
      <c r="J105" s="45">
        <v>2.8000000000000001E-2</v>
      </c>
      <c r="K105" s="190"/>
      <c r="L105" s="190"/>
      <c r="M105" s="190"/>
      <c r="N105" s="190"/>
      <c r="O105" s="190"/>
      <c r="P105" s="195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0"/>
      <c r="C106" s="190"/>
      <c r="D106" s="190"/>
      <c r="E106" s="190"/>
      <c r="F106" s="41" t="s">
        <v>77</v>
      </c>
      <c r="G106" s="42">
        <f t="shared" ref="G106" si="160">+E104*0.4</f>
        <v>0.12440000000000001</v>
      </c>
      <c r="H106" s="43"/>
      <c r="I106" s="44"/>
      <c r="J106" s="45">
        <v>4.7E-2</v>
      </c>
      <c r="K106" s="190"/>
      <c r="L106" s="190"/>
      <c r="M106" s="190"/>
      <c r="N106" s="190"/>
      <c r="O106" s="190"/>
      <c r="P106" s="195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0"/>
      <c r="C107" s="190"/>
      <c r="D107" s="190"/>
      <c r="E107" s="190"/>
      <c r="F107" s="41" t="s">
        <v>78</v>
      </c>
      <c r="G107" s="42">
        <f t="shared" ref="G107" si="161">IF(E104&lt;0.125,"NA",IF(0.125&lt;=E104,(0.8*E104)))</f>
        <v>0.24880000000000002</v>
      </c>
      <c r="H107" s="43"/>
      <c r="I107" s="44"/>
      <c r="J107" s="45">
        <v>0.22</v>
      </c>
      <c r="K107" s="190"/>
      <c r="L107" s="190"/>
      <c r="M107" s="190"/>
      <c r="N107" s="190"/>
      <c r="O107" s="190"/>
      <c r="P107" s="195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1"/>
      <c r="C108" s="191"/>
      <c r="D108" s="191"/>
      <c r="E108" s="191"/>
      <c r="F108" s="46" t="s">
        <v>79</v>
      </c>
      <c r="G108" s="47">
        <f t="shared" ref="G108" si="162">+E104</f>
        <v>0.311</v>
      </c>
      <c r="H108" s="48"/>
      <c r="I108" s="49"/>
      <c r="J108" s="50">
        <v>0.14099999999999999</v>
      </c>
      <c r="K108" s="191"/>
      <c r="L108" s="191"/>
      <c r="M108" s="191"/>
      <c r="N108" s="191"/>
      <c r="O108" s="191"/>
      <c r="P108" s="196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" customFormat="1" ht="13.5" customHeight="1" x14ac:dyDescent="0.2">
      <c r="B109" s="197" t="s">
        <v>28</v>
      </c>
      <c r="C109" s="200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2"/>
    </row>
    <row r="110" spans="1:26" s="3" customFormat="1" ht="14.1" customHeight="1" x14ac:dyDescent="0.2">
      <c r="B110" s="198"/>
      <c r="C110" s="203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5"/>
    </row>
    <row r="111" spans="1:26" s="3" customFormat="1" ht="14.1" customHeight="1" x14ac:dyDescent="0.2">
      <c r="B111" s="198"/>
      <c r="C111" s="203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5"/>
    </row>
    <row r="112" spans="1:26" s="3" customFormat="1" ht="14.1" customHeight="1" x14ac:dyDescent="0.2">
      <c r="B112" s="198"/>
      <c r="C112" s="203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5"/>
    </row>
    <row r="113" spans="1:26" s="3" customFormat="1" ht="14.1" customHeight="1" x14ac:dyDescent="0.2">
      <c r="B113" s="198"/>
      <c r="C113" s="203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5"/>
    </row>
    <row r="114" spans="1:26" s="3" customFormat="1" ht="14.1" customHeight="1" thickBot="1" x14ac:dyDescent="0.25">
      <c r="B114" s="199"/>
      <c r="C114" s="206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8"/>
    </row>
    <row r="115" spans="1:26" s="3" customFormat="1" ht="28.5" customHeight="1" thickBot="1" x14ac:dyDescent="0.25">
      <c r="A115" s="51"/>
      <c r="B115" s="52" t="s">
        <v>80</v>
      </c>
      <c r="C115" s="176" t="s">
        <v>81</v>
      </c>
      <c r="D115" s="176"/>
      <c r="E115" s="176"/>
      <c r="F115" s="176"/>
      <c r="G115" s="176"/>
      <c r="H115" s="177"/>
      <c r="I115" s="178"/>
      <c r="J115" s="52" t="s">
        <v>82</v>
      </c>
      <c r="K115" s="176" t="s">
        <v>83</v>
      </c>
      <c r="L115" s="176"/>
      <c r="M115" s="176"/>
      <c r="N115" s="176"/>
      <c r="O115" s="176"/>
      <c r="P115" s="177"/>
    </row>
    <row r="116" spans="1:26" s="3" customFormat="1" ht="28.5" customHeight="1" thickBot="1" x14ac:dyDescent="0.25">
      <c r="B116" s="53" t="s">
        <v>84</v>
      </c>
      <c r="C116" s="180" t="s">
        <v>85</v>
      </c>
      <c r="D116" s="180"/>
      <c r="E116" s="180"/>
      <c r="F116" s="180"/>
      <c r="G116" s="180"/>
      <c r="H116" s="181"/>
      <c r="I116" s="179"/>
      <c r="J116" s="53" t="s">
        <v>86</v>
      </c>
      <c r="K116" s="180" t="s">
        <v>87</v>
      </c>
      <c r="L116" s="180"/>
      <c r="M116" s="180"/>
      <c r="N116" s="180"/>
      <c r="O116" s="180"/>
      <c r="P116" s="181"/>
    </row>
    <row r="117" spans="1:26" s="91" customFormat="1" ht="13.5" customHeight="1" x14ac:dyDescent="0.25">
      <c r="A117" s="54"/>
      <c r="B117" s="182">
        <f>+B99</f>
        <v>17</v>
      </c>
      <c r="C117" s="185">
        <f>+C94</f>
        <v>18.2</v>
      </c>
      <c r="D117" s="187">
        <f>+D94</f>
        <v>0.53</v>
      </c>
      <c r="E117" s="187">
        <f>+E99</f>
        <v>0.54</v>
      </c>
      <c r="F117" s="55" t="s">
        <v>75</v>
      </c>
      <c r="G117" s="55">
        <v>0.01</v>
      </c>
      <c r="H117" s="56"/>
      <c r="I117" s="57"/>
      <c r="J117" s="58">
        <v>0.10299999999999999</v>
      </c>
      <c r="K117" s="188">
        <f>+AVERAGE(J117:J127)</f>
        <v>0.46354545454545448</v>
      </c>
      <c r="L117" s="167">
        <f>ROUND(+(D117+D122)/2*(C122-C117),3)</f>
        <v>0.45700000000000002</v>
      </c>
      <c r="M117" s="170">
        <f>ROUND(+K117*L117,4)</f>
        <v>0.21179999999999999</v>
      </c>
      <c r="N117" s="167">
        <f>ROUND(+M117/$M$128*100,2)</f>
        <v>10.25</v>
      </c>
      <c r="O117" s="167"/>
      <c r="P117" s="171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s="91" customFormat="1" ht="13.5" customHeight="1" x14ac:dyDescent="0.25">
      <c r="A118" s="54"/>
      <c r="B118" s="183"/>
      <c r="C118" s="168"/>
      <c r="D118" s="168"/>
      <c r="E118" s="168"/>
      <c r="F118" s="60" t="s">
        <v>88</v>
      </c>
      <c r="G118" s="61">
        <f>+E117*0.1</f>
        <v>5.4000000000000006E-2</v>
      </c>
      <c r="H118" s="62"/>
      <c r="I118" s="63"/>
      <c r="J118" s="64">
        <v>0.253</v>
      </c>
      <c r="K118" s="168"/>
      <c r="L118" s="168"/>
      <c r="M118" s="168"/>
      <c r="N118" s="168"/>
      <c r="O118" s="168"/>
      <c r="P118" s="172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s="91" customFormat="1" ht="13.5" customHeight="1" x14ac:dyDescent="0.25">
      <c r="A119" s="54"/>
      <c r="B119" s="183"/>
      <c r="C119" s="168"/>
      <c r="D119" s="168"/>
      <c r="E119" s="168"/>
      <c r="F119" s="60" t="s">
        <v>89</v>
      </c>
      <c r="G119" s="61">
        <f>+E117*0.2</f>
        <v>0.10800000000000001</v>
      </c>
      <c r="H119" s="62"/>
      <c r="I119" s="63"/>
      <c r="J119" s="64">
        <v>0.38400000000000001</v>
      </c>
      <c r="K119" s="168"/>
      <c r="L119" s="168"/>
      <c r="M119" s="168"/>
      <c r="N119" s="168"/>
      <c r="O119" s="168"/>
      <c r="P119" s="172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s="91" customFormat="1" ht="13.5" customHeight="1" x14ac:dyDescent="0.25">
      <c r="A120" s="54"/>
      <c r="B120" s="183"/>
      <c r="C120" s="168"/>
      <c r="D120" s="168"/>
      <c r="E120" s="168"/>
      <c r="F120" s="60" t="s">
        <v>90</v>
      </c>
      <c r="G120" s="61">
        <f>+E117*0.3</f>
        <v>0.16200000000000001</v>
      </c>
      <c r="H120" s="62"/>
      <c r="I120" s="63"/>
      <c r="J120" s="64">
        <v>0.503</v>
      </c>
      <c r="K120" s="168"/>
      <c r="L120" s="168"/>
      <c r="M120" s="168"/>
      <c r="N120" s="168"/>
      <c r="O120" s="168"/>
      <c r="P120" s="172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s="91" customFormat="1" ht="13.5" customHeight="1" x14ac:dyDescent="0.25">
      <c r="A121" s="54"/>
      <c r="B121" s="183"/>
      <c r="C121" s="186"/>
      <c r="D121" s="186"/>
      <c r="E121" s="168"/>
      <c r="F121" s="60" t="s">
        <v>91</v>
      </c>
      <c r="G121" s="61">
        <f>+E117*0.4</f>
        <v>0.21600000000000003</v>
      </c>
      <c r="H121" s="62"/>
      <c r="I121" s="63"/>
      <c r="J121" s="64">
        <v>0.48199999999999998</v>
      </c>
      <c r="K121" s="168"/>
      <c r="L121" s="168"/>
      <c r="M121" s="168"/>
      <c r="N121" s="168"/>
      <c r="O121" s="168"/>
      <c r="P121" s="172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s="91" customFormat="1" ht="13.5" customHeight="1" x14ac:dyDescent="0.25">
      <c r="A122" s="54"/>
      <c r="B122" s="183"/>
      <c r="C122" s="174">
        <f>+C99</f>
        <v>19.2</v>
      </c>
      <c r="D122" s="175">
        <f>+D99</f>
        <v>0.38400000000000001</v>
      </c>
      <c r="E122" s="168"/>
      <c r="F122" s="60" t="s">
        <v>29</v>
      </c>
      <c r="G122" s="61">
        <f>+E117*0.5</f>
        <v>0.27</v>
      </c>
      <c r="H122" s="62"/>
      <c r="I122" s="63"/>
      <c r="J122" s="64">
        <v>0.51600000000000001</v>
      </c>
      <c r="K122" s="168"/>
      <c r="L122" s="168"/>
      <c r="M122" s="168"/>
      <c r="N122" s="168"/>
      <c r="O122" s="168"/>
      <c r="P122" s="172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91" customFormat="1" ht="13.5" customHeight="1" x14ac:dyDescent="0.25">
      <c r="A123" s="54"/>
      <c r="B123" s="183"/>
      <c r="C123" s="168"/>
      <c r="D123" s="168"/>
      <c r="E123" s="168"/>
      <c r="F123" s="60" t="s">
        <v>92</v>
      </c>
      <c r="G123" s="61">
        <f>+E117*0.6</f>
        <v>0.32400000000000001</v>
      </c>
      <c r="H123" s="62"/>
      <c r="I123" s="63"/>
      <c r="J123" s="64">
        <v>0.53600000000000003</v>
      </c>
      <c r="K123" s="168"/>
      <c r="L123" s="168"/>
      <c r="M123" s="168"/>
      <c r="N123" s="168"/>
      <c r="O123" s="168"/>
      <c r="P123" s="172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s="91" customFormat="1" ht="13.5" customHeight="1" x14ac:dyDescent="0.25">
      <c r="A124" s="54"/>
      <c r="B124" s="183"/>
      <c r="C124" s="168"/>
      <c r="D124" s="168"/>
      <c r="E124" s="168"/>
      <c r="F124" s="60" t="s">
        <v>93</v>
      </c>
      <c r="G124" s="61">
        <f>+E117*0.7</f>
        <v>0.378</v>
      </c>
      <c r="H124" s="62"/>
      <c r="I124" s="63"/>
      <c r="J124" s="64">
        <v>0.47799999999999998</v>
      </c>
      <c r="K124" s="168"/>
      <c r="L124" s="168"/>
      <c r="M124" s="168"/>
      <c r="N124" s="168"/>
      <c r="O124" s="168"/>
      <c r="P124" s="172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s="91" customFormat="1" ht="13.5" customHeight="1" x14ac:dyDescent="0.25">
      <c r="A125" s="54"/>
      <c r="B125" s="183"/>
      <c r="C125" s="168"/>
      <c r="D125" s="168"/>
      <c r="E125" s="168"/>
      <c r="F125" s="60" t="s">
        <v>94</v>
      </c>
      <c r="G125" s="61">
        <f>+E117*0.8</f>
        <v>0.43200000000000005</v>
      </c>
      <c r="H125" s="62"/>
      <c r="I125" s="63"/>
      <c r="J125" s="64">
        <v>0.621</v>
      </c>
      <c r="K125" s="168"/>
      <c r="L125" s="168"/>
      <c r="M125" s="168"/>
      <c r="N125" s="168"/>
      <c r="O125" s="168"/>
      <c r="P125" s="172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s="91" customFormat="1" ht="13.5" customHeight="1" x14ac:dyDescent="0.25">
      <c r="A126" s="54"/>
      <c r="B126" s="183"/>
      <c r="C126" s="168"/>
      <c r="D126" s="168"/>
      <c r="E126" s="168"/>
      <c r="F126" s="60" t="s">
        <v>95</v>
      </c>
      <c r="G126" s="61">
        <f>+E117*0.9</f>
        <v>0.48600000000000004</v>
      </c>
      <c r="H126" s="62"/>
      <c r="I126" s="63"/>
      <c r="J126" s="64">
        <v>0.62</v>
      </c>
      <c r="K126" s="168"/>
      <c r="L126" s="168"/>
      <c r="M126" s="168"/>
      <c r="N126" s="168"/>
      <c r="O126" s="168"/>
      <c r="P126" s="172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s="91" customFormat="1" ht="15.75" thickBot="1" x14ac:dyDescent="0.3">
      <c r="A127" s="54"/>
      <c r="B127" s="184"/>
      <c r="C127" s="169"/>
      <c r="D127" s="169"/>
      <c r="E127" s="169"/>
      <c r="F127" s="65" t="s">
        <v>30</v>
      </c>
      <c r="G127" s="65">
        <f>+E117</f>
        <v>0.54</v>
      </c>
      <c r="H127" s="66"/>
      <c r="I127" s="67"/>
      <c r="J127" s="68">
        <v>0.60299999999999998</v>
      </c>
      <c r="K127" s="169"/>
      <c r="L127" s="169"/>
      <c r="M127" s="169"/>
      <c r="N127" s="169"/>
      <c r="O127" s="169"/>
      <c r="P127" s="173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3" customFormat="1" ht="12.75" x14ac:dyDescent="0.2">
      <c r="A128" s="8"/>
      <c r="B128" s="155" t="s">
        <v>103</v>
      </c>
      <c r="C128" s="155"/>
      <c r="D128" s="155"/>
      <c r="E128" s="155"/>
      <c r="F128" s="155"/>
      <c r="G128" s="155"/>
      <c r="H128" s="155"/>
      <c r="I128" s="155"/>
      <c r="J128" s="155"/>
      <c r="K128" s="13">
        <f>ROUND(+M128/L128,3)</f>
        <v>0.48299999999999998</v>
      </c>
      <c r="L128" s="12">
        <f>SUM(L19:L127)</f>
        <v>4.282</v>
      </c>
      <c r="M128" s="11">
        <f>SUM(M19:M127)</f>
        <v>2.0667999999999997</v>
      </c>
      <c r="N128" s="9">
        <f>ROUND(SUM(N19:N127),0)</f>
        <v>100</v>
      </c>
      <c r="O128" s="157" t="s">
        <v>31</v>
      </c>
      <c r="P128" s="159"/>
    </row>
    <row r="129" spans="1:16" s="3" customFormat="1" ht="15" customHeight="1" thickBot="1" x14ac:dyDescent="0.25">
      <c r="A129" s="8"/>
      <c r="B129" s="156"/>
      <c r="C129" s="156"/>
      <c r="D129" s="156"/>
      <c r="E129" s="156"/>
      <c r="F129" s="156"/>
      <c r="G129" s="156"/>
      <c r="H129" s="156"/>
      <c r="I129" s="156"/>
      <c r="J129" s="156"/>
      <c r="K129" s="10" t="s">
        <v>32</v>
      </c>
      <c r="L129" s="10" t="s">
        <v>48</v>
      </c>
      <c r="M129" s="10" t="s">
        <v>100</v>
      </c>
      <c r="N129" s="10" t="s">
        <v>33</v>
      </c>
      <c r="O129" s="158"/>
      <c r="P129" s="160"/>
    </row>
    <row r="130" spans="1:16" ht="15" customHeight="1" thickBot="1" x14ac:dyDescent="0.3">
      <c r="A130" s="93"/>
      <c r="B130" s="161" t="s">
        <v>96</v>
      </c>
      <c r="C130" s="162"/>
      <c r="D130" s="162"/>
      <c r="E130" s="162"/>
      <c r="F130" s="163"/>
      <c r="G130" s="161" t="s">
        <v>97</v>
      </c>
      <c r="H130" s="162"/>
      <c r="I130" s="162"/>
      <c r="J130" s="162"/>
      <c r="K130" s="163"/>
      <c r="L130" s="164" t="s">
        <v>49</v>
      </c>
      <c r="M130" s="165"/>
      <c r="N130" s="165"/>
      <c r="O130" s="165"/>
      <c r="P130" s="166"/>
    </row>
    <row r="131" spans="1:16" ht="15" customHeight="1" x14ac:dyDescent="0.25">
      <c r="A131" s="93"/>
      <c r="B131" s="125"/>
      <c r="C131" s="126"/>
      <c r="D131" s="126"/>
      <c r="E131" s="126"/>
      <c r="F131" s="127"/>
      <c r="G131" s="125"/>
      <c r="H131" s="126"/>
      <c r="I131" s="126"/>
      <c r="J131" s="126"/>
      <c r="K131" s="127"/>
      <c r="L131" s="134" t="s">
        <v>98</v>
      </c>
      <c r="M131" s="135"/>
      <c r="N131" s="135"/>
      <c r="O131" s="136">
        <f>+AVERAGE(E18:E108)</f>
        <v>0.25644444444444442</v>
      </c>
      <c r="P131" s="137"/>
    </row>
    <row r="132" spans="1:16" ht="15" customHeight="1" thickBot="1" x14ac:dyDescent="0.3">
      <c r="A132" s="93"/>
      <c r="B132" s="128"/>
      <c r="C132" s="129"/>
      <c r="D132" s="129"/>
      <c r="E132" s="129"/>
      <c r="F132" s="130"/>
      <c r="G132" s="128"/>
      <c r="H132" s="129"/>
      <c r="I132" s="129"/>
      <c r="J132" s="129"/>
      <c r="K132" s="130"/>
      <c r="L132" s="138" t="s">
        <v>99</v>
      </c>
      <c r="M132" s="139"/>
      <c r="N132" s="139"/>
      <c r="O132" s="140">
        <f>MAX(E18:E108)</f>
        <v>0.54</v>
      </c>
      <c r="P132" s="141"/>
    </row>
    <row r="133" spans="1:16" ht="18.600000000000001" customHeight="1" x14ac:dyDescent="0.25">
      <c r="A133" s="94"/>
      <c r="B133" s="128"/>
      <c r="C133" s="129"/>
      <c r="D133" s="129"/>
      <c r="E133" s="129"/>
      <c r="F133" s="130"/>
      <c r="G133" s="128"/>
      <c r="H133" s="129"/>
      <c r="I133" s="129"/>
      <c r="J133" s="129"/>
      <c r="K133" s="130"/>
      <c r="L133" s="142"/>
      <c r="M133" s="143"/>
      <c r="N133" s="143"/>
      <c r="O133" s="143"/>
      <c r="P133" s="144"/>
    </row>
    <row r="134" spans="1:16" ht="42" customHeight="1" x14ac:dyDescent="0.25">
      <c r="A134" s="95"/>
      <c r="B134" s="128"/>
      <c r="C134" s="129"/>
      <c r="D134" s="129"/>
      <c r="E134" s="129"/>
      <c r="F134" s="130"/>
      <c r="G134" s="128"/>
      <c r="H134" s="129"/>
      <c r="I134" s="129"/>
      <c r="J134" s="129"/>
      <c r="K134" s="130"/>
      <c r="L134" s="145"/>
      <c r="M134" s="146"/>
      <c r="N134" s="146"/>
      <c r="O134" s="146"/>
      <c r="P134" s="147"/>
    </row>
    <row r="135" spans="1:16" ht="15" customHeight="1" thickBot="1" x14ac:dyDescent="0.3">
      <c r="A135" s="93"/>
      <c r="B135" s="128"/>
      <c r="C135" s="129"/>
      <c r="D135" s="129"/>
      <c r="E135" s="129"/>
      <c r="F135" s="130"/>
      <c r="G135" s="128"/>
      <c r="H135" s="129"/>
      <c r="I135" s="129"/>
      <c r="J135" s="129"/>
      <c r="K135" s="130"/>
      <c r="L135" s="148"/>
      <c r="M135" s="149"/>
      <c r="N135" s="149"/>
      <c r="O135" s="149"/>
      <c r="P135" s="150"/>
    </row>
    <row r="136" spans="1:16" ht="22.5" customHeight="1" thickBot="1" x14ac:dyDescent="0.3">
      <c r="A136" s="93"/>
      <c r="B136" s="128"/>
      <c r="C136" s="129"/>
      <c r="D136" s="129"/>
      <c r="E136" s="129"/>
      <c r="F136" s="130"/>
      <c r="G136" s="128"/>
      <c r="H136" s="129"/>
      <c r="I136" s="129"/>
      <c r="J136" s="129"/>
      <c r="K136" s="130"/>
      <c r="L136" s="151" t="s">
        <v>34</v>
      </c>
      <c r="M136" s="152"/>
      <c r="N136" s="152"/>
      <c r="O136" s="152"/>
      <c r="P136" s="90">
        <v>4.8</v>
      </c>
    </row>
    <row r="137" spans="1:16" ht="32.25" customHeight="1" thickBot="1" x14ac:dyDescent="0.3">
      <c r="A137" s="93"/>
      <c r="B137" s="131"/>
      <c r="C137" s="132"/>
      <c r="D137" s="132"/>
      <c r="E137" s="132"/>
      <c r="F137" s="133"/>
      <c r="G137" s="131"/>
      <c r="H137" s="132"/>
      <c r="I137" s="132"/>
      <c r="J137" s="132"/>
      <c r="K137" s="133"/>
      <c r="L137" s="153" t="s">
        <v>102</v>
      </c>
      <c r="M137" s="154"/>
      <c r="N137" s="154"/>
      <c r="O137" s="154"/>
      <c r="P137" s="90">
        <v>0.21290000000000001</v>
      </c>
    </row>
    <row r="138" spans="1:16" ht="23.45" customHeight="1" thickBot="1" x14ac:dyDescent="0.3">
      <c r="A138" s="5"/>
      <c r="B138" s="311"/>
      <c r="C138" s="311"/>
      <c r="D138" s="311"/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</row>
    <row r="139" spans="1:16" ht="15.75" thickBot="1" x14ac:dyDescent="0.3">
      <c r="A139" s="114" t="s">
        <v>35</v>
      </c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3"/>
    </row>
    <row r="140" spans="1:16" ht="159" customHeight="1" thickBot="1" x14ac:dyDescent="0.3">
      <c r="A140" s="4"/>
      <c r="B140" s="314"/>
      <c r="C140" s="315"/>
      <c r="D140" s="315"/>
      <c r="E140" s="315"/>
      <c r="F140" s="316"/>
      <c r="G140" s="314"/>
      <c r="H140" s="315"/>
      <c r="I140" s="315"/>
      <c r="J140" s="315"/>
      <c r="K140" s="316"/>
      <c r="L140" s="314"/>
      <c r="M140" s="315"/>
      <c r="N140" s="315"/>
      <c r="O140" s="315"/>
      <c r="P140" s="316"/>
    </row>
    <row r="141" spans="1:16" ht="21.75" customHeight="1" thickBot="1" x14ac:dyDescent="0.3">
      <c r="A141" s="4"/>
      <c r="B141" s="301" t="s">
        <v>118</v>
      </c>
      <c r="C141" s="302"/>
      <c r="D141" s="302"/>
      <c r="E141" s="302"/>
      <c r="F141" s="303"/>
      <c r="G141" s="301"/>
      <c r="H141" s="302"/>
      <c r="I141" s="302"/>
      <c r="J141" s="302"/>
      <c r="K141" s="303"/>
      <c r="L141" s="301"/>
      <c r="M141" s="302"/>
      <c r="N141" s="302"/>
      <c r="O141" s="302"/>
      <c r="P141" s="303"/>
    </row>
    <row r="142" spans="1:16" s="7" customFormat="1" ht="16.899999999999999" customHeight="1" thickBot="1" x14ac:dyDescent="0.3">
      <c r="A142" s="6"/>
      <c r="B142" s="304"/>
      <c r="C142" s="304"/>
      <c r="D142" s="304"/>
      <c r="E142" s="304"/>
      <c r="F142" s="304"/>
      <c r="G142" s="304"/>
      <c r="H142" s="304"/>
      <c r="I142" s="304"/>
      <c r="J142" s="304"/>
      <c r="K142" s="304"/>
      <c r="L142" s="304"/>
      <c r="M142" s="304"/>
      <c r="N142" s="304"/>
      <c r="O142" s="304"/>
      <c r="P142" s="305"/>
    </row>
    <row r="143" spans="1:16" s="3" customFormat="1" ht="15.75" customHeight="1" thickBot="1" x14ac:dyDescent="0.25">
      <c r="A143" s="306" t="s">
        <v>36</v>
      </c>
      <c r="B143" s="307"/>
      <c r="C143" s="308"/>
      <c r="D143" s="309"/>
      <c r="E143" s="307"/>
      <c r="F143" s="307"/>
      <c r="G143" s="307"/>
      <c r="H143" s="307"/>
      <c r="I143" s="308"/>
      <c r="J143" s="309" t="s">
        <v>37</v>
      </c>
      <c r="K143" s="308"/>
      <c r="L143" s="309"/>
      <c r="M143" s="307"/>
      <c r="N143" s="307"/>
      <c r="O143" s="307"/>
      <c r="P143" s="310"/>
    </row>
  </sheetData>
  <mergeCells count="28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104:M108"/>
    <mergeCell ref="N104:N108"/>
    <mergeCell ref="O104:O108"/>
    <mergeCell ref="P104:P108"/>
    <mergeCell ref="B109:B114"/>
    <mergeCell ref="C109:P114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C115:H115"/>
    <mergeCell ref="I115:I116"/>
    <mergeCell ref="K115:P115"/>
    <mergeCell ref="C116:H116"/>
    <mergeCell ref="K116:P116"/>
    <mergeCell ref="B117:B127"/>
    <mergeCell ref="C117:C121"/>
    <mergeCell ref="D117:D121"/>
    <mergeCell ref="E117:E127"/>
    <mergeCell ref="K117:K127"/>
    <mergeCell ref="B128:J129"/>
    <mergeCell ref="O128:O129"/>
    <mergeCell ref="P128:P129"/>
    <mergeCell ref="B130:F130"/>
    <mergeCell ref="G130:K130"/>
    <mergeCell ref="L130:P130"/>
    <mergeCell ref="L117:L127"/>
    <mergeCell ref="M117:M127"/>
    <mergeCell ref="N117:N127"/>
    <mergeCell ref="O117:O127"/>
    <mergeCell ref="P117:P127"/>
    <mergeCell ref="C122:C127"/>
    <mergeCell ref="D122:D127"/>
    <mergeCell ref="B131:F137"/>
    <mergeCell ref="G131:K137"/>
    <mergeCell ref="L131:N131"/>
    <mergeCell ref="O131:P131"/>
    <mergeCell ref="L132:N132"/>
    <mergeCell ref="O132:P132"/>
    <mergeCell ref="L133:P135"/>
    <mergeCell ref="L136:O136"/>
    <mergeCell ref="L137:O137"/>
    <mergeCell ref="B142:P142"/>
    <mergeCell ref="A143:C143"/>
    <mergeCell ref="D143:I143"/>
    <mergeCell ref="J143:K143"/>
    <mergeCell ref="L143:P143"/>
    <mergeCell ref="B138:P138"/>
    <mergeCell ref="A139:P139"/>
    <mergeCell ref="B140:F140"/>
    <mergeCell ref="G140:K140"/>
    <mergeCell ref="L140:P140"/>
    <mergeCell ref="B141:F141"/>
    <mergeCell ref="G141:K141"/>
    <mergeCell ref="L141:P141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2019-05-17T15:54:30Z</dcterms:modified>
</cp:coreProperties>
</file>